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or\IONOS HiDrive\users\dl-witten\Demeter\Preise\Landwirte\"/>
    </mc:Choice>
  </mc:AlternateContent>
  <xr:revisionPtr revIDLastSave="0" documentId="13_ncr:1_{DF1F2D3B-72DB-4F07-B5B6-B72028543CB4}" xr6:coauthVersionLast="47" xr6:coauthVersionMax="47" xr10:uidLastSave="{00000000-0000-0000-0000-000000000000}"/>
  <bookViews>
    <workbookView xWindow="-120" yWindow="-120" windowWidth="29040" windowHeight="15720" xr2:uid="{00000000-000D-0000-FFFF-FFFF01000000}"/>
  </bookViews>
  <sheets>
    <sheet name="Auszahlung Erzeuger" sheetId="1" r:id="rId1"/>
    <sheet name="Preise EH" sheetId="14" r:id="rId2"/>
    <sheet name="Tabelle1" sheetId="15" r:id="rId3"/>
  </sheets>
  <definedNames>
    <definedName name="_xlnm.Print_Area" localSheetId="0">'Auszahlung Erzeuger'!$A$1:$H$62</definedName>
    <definedName name="_xlnm.Print_Area" localSheetId="1">'Preise EH'!$A$1:$I$61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38" i="1" l="1"/>
  <c r="B119" i="15" l="1"/>
  <c r="B120" i="15"/>
  <c r="B121" i="15"/>
  <c r="B123" i="15"/>
  <c r="B124" i="15"/>
  <c r="J5" i="15" l="1"/>
  <c r="J74" i="15" s="1"/>
  <c r="J6" i="15"/>
  <c r="J7" i="15"/>
  <c r="J8" i="15"/>
  <c r="J9" i="15"/>
  <c r="J10" i="15"/>
  <c r="J11" i="15"/>
  <c r="J12" i="15"/>
  <c r="J13" i="15"/>
  <c r="J14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F64" i="15" l="1"/>
  <c r="F63" i="15"/>
  <c r="F62" i="15"/>
  <c r="F61" i="15"/>
  <c r="F60" i="15"/>
  <c r="F58" i="15"/>
  <c r="F57" i="15"/>
  <c r="F56" i="15"/>
  <c r="F55" i="15"/>
  <c r="F54" i="15"/>
  <c r="F47" i="15"/>
  <c r="F49" i="15"/>
  <c r="F45" i="15"/>
  <c r="F48" i="15"/>
  <c r="F44" i="15"/>
  <c r="F43" i="15"/>
  <c r="F42" i="15"/>
  <c r="F41" i="15"/>
  <c r="F40" i="15"/>
  <c r="F39" i="15"/>
  <c r="F38" i="15"/>
  <c r="F37" i="15"/>
  <c r="F32" i="15"/>
  <c r="F27" i="15"/>
  <c r="F21" i="15"/>
  <c r="F20" i="15"/>
  <c r="F19" i="15"/>
  <c r="F18" i="15"/>
  <c r="F53" i="15"/>
  <c r="F52" i="15"/>
  <c r="F51" i="15"/>
  <c r="F50" i="15"/>
  <c r="F29" i="15"/>
  <c r="F17" i="15"/>
  <c r="F15" i="15"/>
  <c r="F12" i="15"/>
  <c r="F11" i="15"/>
  <c r="F10" i="15"/>
  <c r="F9" i="15"/>
  <c r="F8" i="15"/>
  <c r="F7" i="15"/>
  <c r="F6" i="15"/>
  <c r="F5" i="15"/>
  <c r="F38" i="1" l="1"/>
  <c r="G38" i="1"/>
  <c r="H38" i="1"/>
  <c r="H96" i="1" l="1"/>
  <c r="H95" i="1"/>
  <c r="H93" i="1"/>
  <c r="H94" i="1" s="1"/>
  <c r="H97" i="1" l="1"/>
  <c r="D129" i="15"/>
  <c r="D126" i="15"/>
  <c r="D124" i="15"/>
  <c r="D123" i="15"/>
  <c r="D122" i="15"/>
  <c r="B131" i="15"/>
  <c r="D120" i="15"/>
  <c r="D119" i="15"/>
  <c r="F111" i="15"/>
  <c r="F110" i="15"/>
  <c r="F109" i="15"/>
  <c r="F108" i="15"/>
  <c r="F107" i="15"/>
  <c r="D104" i="15"/>
  <c r="F104" i="15" s="1"/>
  <c r="F103" i="15"/>
  <c r="B103" i="15"/>
  <c r="H99" i="15"/>
  <c r="J99" i="15" s="1"/>
  <c r="D99" i="15"/>
  <c r="D98" i="15"/>
  <c r="H98" i="15" s="1"/>
  <c r="J98" i="15" s="1"/>
  <c r="D97" i="15"/>
  <c r="H97" i="15" s="1"/>
  <c r="J97" i="15" s="1"/>
  <c r="D96" i="15"/>
  <c r="H96" i="15" s="1"/>
  <c r="J96" i="15" s="1"/>
  <c r="D92" i="15"/>
  <c r="H92" i="15" s="1"/>
  <c r="J92" i="15" s="1"/>
  <c r="H89" i="15"/>
  <c r="J89" i="15" s="1"/>
  <c r="D86" i="15"/>
  <c r="H86" i="15" s="1"/>
  <c r="J86" i="15" s="1"/>
  <c r="D83" i="15"/>
  <c r="H83" i="15" s="1"/>
  <c r="J83" i="15" s="1"/>
  <c r="D74" i="15"/>
  <c r="B112" i="15" s="1"/>
  <c r="D112" i="15" s="1"/>
  <c r="C74" i="15"/>
  <c r="E113" i="15" s="1"/>
  <c r="G64" i="15"/>
  <c r="G63" i="15"/>
  <c r="G62" i="15"/>
  <c r="G61" i="15"/>
  <c r="G60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5" i="15"/>
  <c r="G44" i="15"/>
  <c r="G43" i="15"/>
  <c r="G42" i="15"/>
  <c r="G41" i="15"/>
  <c r="G40" i="15"/>
  <c r="G39" i="15"/>
  <c r="G38" i="15"/>
  <c r="G37" i="15"/>
  <c r="G32" i="15"/>
  <c r="G29" i="15"/>
  <c r="G27" i="15"/>
  <c r="G21" i="15"/>
  <c r="G20" i="15"/>
  <c r="G19" i="15"/>
  <c r="G18" i="15"/>
  <c r="G17" i="15"/>
  <c r="G15" i="15"/>
  <c r="G12" i="15"/>
  <c r="G11" i="15"/>
  <c r="G10" i="15"/>
  <c r="G9" i="15"/>
  <c r="G8" i="15"/>
  <c r="G7" i="15"/>
  <c r="G6" i="15"/>
  <c r="G5" i="15"/>
  <c r="C38" i="1"/>
  <c r="E38" i="1"/>
  <c r="H32" i="1"/>
  <c r="H31" i="1"/>
  <c r="H30" i="1"/>
  <c r="F35" i="1"/>
  <c r="H35" i="1" s="1"/>
  <c r="F36" i="1"/>
  <c r="F37" i="1"/>
  <c r="F28" i="1"/>
  <c r="C25" i="1"/>
  <c r="E25" i="1"/>
  <c r="F25" i="1"/>
  <c r="H25" i="1" s="1"/>
  <c r="C26" i="1"/>
  <c r="D26" i="1"/>
  <c r="E26" i="1"/>
  <c r="F26" i="1"/>
  <c r="C27" i="1"/>
  <c r="D27" i="1"/>
  <c r="E27" i="1"/>
  <c r="F27" i="1"/>
  <c r="H27" i="1" s="1"/>
  <c r="G30" i="1"/>
  <c r="G31" i="1"/>
  <c r="G32" i="1"/>
  <c r="C35" i="1"/>
  <c r="D35" i="1"/>
  <c r="E35" i="1"/>
  <c r="E40" i="1" s="1"/>
  <c r="C36" i="1"/>
  <c r="D36" i="1"/>
  <c r="E36" i="1"/>
  <c r="E41" i="1" s="1"/>
  <c r="C37" i="1"/>
  <c r="D37" i="1"/>
  <c r="D42" i="1" s="1"/>
  <c r="E37" i="1"/>
  <c r="E42" i="1" s="1"/>
  <c r="D60" i="1"/>
  <c r="E85" i="1"/>
  <c r="C93" i="1"/>
  <c r="C94" i="1"/>
  <c r="D93" i="1"/>
  <c r="D38" i="14" s="1"/>
  <c r="E93" i="1"/>
  <c r="E94" i="1" s="1"/>
  <c r="F93" i="1"/>
  <c r="F94" i="1" s="1"/>
  <c r="G93" i="1"/>
  <c r="C95" i="1"/>
  <c r="D95" i="1"/>
  <c r="E95" i="1"/>
  <c r="F95" i="1"/>
  <c r="F97" i="1" s="1"/>
  <c r="G95" i="1"/>
  <c r="C96" i="1"/>
  <c r="D96" i="1"/>
  <c r="D97" i="1" s="1"/>
  <c r="E96" i="1"/>
  <c r="E97" i="1" s="1"/>
  <c r="F96" i="1"/>
  <c r="G96" i="1"/>
  <c r="G97" i="1" s="1"/>
  <c r="C38" i="14"/>
  <c r="F36" i="14"/>
  <c r="F35" i="14"/>
  <c r="F38" i="14" l="1"/>
  <c r="C97" i="1"/>
  <c r="F43" i="14"/>
  <c r="H40" i="14"/>
  <c r="H38" i="14"/>
  <c r="G38" i="14"/>
  <c r="H43" i="14"/>
  <c r="G43" i="14"/>
  <c r="G37" i="14"/>
  <c r="B133" i="15"/>
  <c r="H35" i="14"/>
  <c r="H36" i="14"/>
  <c r="H30" i="14"/>
  <c r="H37" i="14"/>
  <c r="H32" i="14"/>
  <c r="F114" i="15"/>
  <c r="H36" i="1"/>
  <c r="H41" i="14" s="1"/>
  <c r="F65" i="15"/>
  <c r="G65" i="15" s="1"/>
  <c r="F31" i="15"/>
  <c r="G31" i="15" s="1"/>
  <c r="F46" i="15"/>
  <c r="G46" i="15" s="1"/>
  <c r="H26" i="1"/>
  <c r="H31" i="14" s="1"/>
  <c r="F13" i="15"/>
  <c r="G13" i="15" s="1"/>
  <c r="F16" i="15"/>
  <c r="G16" i="15" s="1"/>
  <c r="F28" i="15"/>
  <c r="G28" i="15" s="1"/>
  <c r="F36" i="15"/>
  <c r="G36" i="15" s="1"/>
  <c r="F35" i="15"/>
  <c r="G35" i="15" s="1"/>
  <c r="F34" i="15"/>
  <c r="G34" i="15" s="1"/>
  <c r="F33" i="15"/>
  <c r="G33" i="15" s="1"/>
  <c r="F30" i="15"/>
  <c r="G30" i="15" s="1"/>
  <c r="F14" i="15"/>
  <c r="G14" i="15" s="1"/>
  <c r="C41" i="1"/>
  <c r="C46" i="14" s="1"/>
  <c r="F66" i="15"/>
  <c r="G66" i="15" s="1"/>
  <c r="F70" i="15"/>
  <c r="G70" i="15" s="1"/>
  <c r="F69" i="15"/>
  <c r="G69" i="15" s="1"/>
  <c r="F67" i="15"/>
  <c r="G67" i="15" s="1"/>
  <c r="F71" i="15"/>
  <c r="G71" i="15" s="1"/>
  <c r="F68" i="15"/>
  <c r="G68" i="15" s="1"/>
  <c r="F72" i="15"/>
  <c r="G72" i="15" s="1"/>
  <c r="G28" i="1"/>
  <c r="F43" i="1"/>
  <c r="F48" i="14" s="1"/>
  <c r="F25" i="15"/>
  <c r="G25" i="15" s="1"/>
  <c r="F24" i="15"/>
  <c r="G24" i="15" s="1"/>
  <c r="F23" i="15"/>
  <c r="G23" i="15" s="1"/>
  <c r="F26" i="15"/>
  <c r="G26" i="15" s="1"/>
  <c r="F22" i="15"/>
  <c r="G22" i="15" s="1"/>
  <c r="G25" i="1"/>
  <c r="G30" i="14" s="1"/>
  <c r="G35" i="14"/>
  <c r="G36" i="1"/>
  <c r="G41" i="14" s="1"/>
  <c r="G36" i="14"/>
  <c r="F42" i="1"/>
  <c r="H37" i="1"/>
  <c r="H42" i="14" s="1"/>
  <c r="C36" i="14"/>
  <c r="F42" i="14"/>
  <c r="F37" i="14"/>
  <c r="D36" i="14"/>
  <c r="G94" i="1"/>
  <c r="C37" i="14"/>
  <c r="F33" i="14"/>
  <c r="C35" i="14"/>
  <c r="C42" i="14"/>
  <c r="D31" i="14"/>
  <c r="C31" i="14"/>
  <c r="E46" i="14"/>
  <c r="E35" i="14"/>
  <c r="D41" i="14"/>
  <c r="E32" i="14"/>
  <c r="E30" i="14"/>
  <c r="E45" i="14"/>
  <c r="D32" i="14"/>
  <c r="D94" i="1"/>
  <c r="D40" i="14"/>
  <c r="C32" i="14"/>
  <c r="C30" i="14"/>
  <c r="E38" i="14"/>
  <c r="D35" i="14"/>
  <c r="D30" i="14"/>
  <c r="E36" i="14"/>
  <c r="D37" i="14"/>
  <c r="E47" i="14"/>
  <c r="C40" i="14"/>
  <c r="E37" i="14"/>
  <c r="D47" i="14"/>
  <c r="E31" i="14"/>
  <c r="E43" i="14"/>
  <c r="G37" i="1"/>
  <c r="G42" i="14" s="1"/>
  <c r="C43" i="14"/>
  <c r="C41" i="14"/>
  <c r="C40" i="1"/>
  <c r="C45" i="14" s="1"/>
  <c r="D42" i="14"/>
  <c r="D43" i="14"/>
  <c r="E40" i="14"/>
  <c r="E42" i="14"/>
  <c r="D41" i="1"/>
  <c r="D46" i="14" s="1"/>
  <c r="D40" i="1"/>
  <c r="D45" i="14" s="1"/>
  <c r="F32" i="14"/>
  <c r="F41" i="1"/>
  <c r="F46" i="14" s="1"/>
  <c r="F41" i="14"/>
  <c r="E41" i="14"/>
  <c r="G112" i="15"/>
  <c r="G114" i="15" s="1"/>
  <c r="E112" i="15"/>
  <c r="E114" i="15" s="1"/>
  <c r="D121" i="15"/>
  <c r="D131" i="15" s="1"/>
  <c r="D28" i="1"/>
  <c r="C28" i="1"/>
  <c r="G27" i="1"/>
  <c r="G32" i="14" s="1"/>
  <c r="F31" i="14"/>
  <c r="G26" i="1"/>
  <c r="G31" i="14" s="1"/>
  <c r="G35" i="1"/>
  <c r="G40" i="14" s="1"/>
  <c r="F30" i="14"/>
  <c r="F40" i="1"/>
  <c r="F40" i="14"/>
  <c r="C42" i="1"/>
  <c r="C47" i="14" s="1"/>
  <c r="E28" i="1"/>
  <c r="F47" i="14" l="1"/>
  <c r="F59" i="15"/>
  <c r="G59" i="15" s="1"/>
  <c r="G74" i="15" s="1"/>
  <c r="F74" i="15" s="1"/>
  <c r="G43" i="1"/>
  <c r="G48" i="14" s="1"/>
  <c r="G33" i="14"/>
  <c r="H28" i="1"/>
  <c r="E33" i="14"/>
  <c r="E43" i="1"/>
  <c r="E48" i="14" s="1"/>
  <c r="C33" i="14"/>
  <c r="C43" i="1"/>
  <c r="C48" i="14" s="1"/>
  <c r="D33" i="14"/>
  <c r="D43" i="1"/>
  <c r="D48" i="14" s="1"/>
  <c r="H42" i="1"/>
  <c r="H47" i="14" s="1"/>
  <c r="G42" i="1"/>
  <c r="G47" i="14" s="1"/>
  <c r="H41" i="1"/>
  <c r="H46" i="14" s="1"/>
  <c r="G41" i="1"/>
  <c r="G46" i="14" s="1"/>
  <c r="C131" i="15"/>
  <c r="H40" i="1"/>
  <c r="H45" i="14" s="1"/>
  <c r="F45" i="14"/>
  <c r="G40" i="1"/>
  <c r="G45" i="14" s="1"/>
  <c r="D80" i="15" l="1"/>
  <c r="D114" i="15"/>
  <c r="C114" i="15" s="1"/>
  <c r="H80" i="15"/>
  <c r="H114" i="15" s="1"/>
  <c r="H135" i="15" s="1"/>
  <c r="H43" i="1"/>
  <c r="H48" i="14" s="1"/>
  <c r="H33" i="14"/>
  <c r="D133" i="15" l="1"/>
  <c r="G133" i="15" s="1"/>
  <c r="G135" i="15" s="1"/>
  <c r="J80" i="15"/>
  <c r="J114" i="15" s="1"/>
  <c r="J116" i="15" s="1"/>
  <c r="F135" i="15"/>
  <c r="D134" i="15" l="1"/>
  <c r="J132" i="15"/>
  <c r="J135" i="15" s="1"/>
  <c r="G137" i="15"/>
  <c r="E135" i="15"/>
  <c r="G136" i="15"/>
</calcChain>
</file>

<file path=xl/sharedStrings.xml><?xml version="1.0" encoding="utf-8"?>
<sst xmlns="http://schemas.openxmlformats.org/spreadsheetml/2006/main" count="534" uniqueCount="190">
  <si>
    <t>Kühe</t>
  </si>
  <si>
    <t>Färsen</t>
  </si>
  <si>
    <t>U</t>
  </si>
  <si>
    <t>R</t>
  </si>
  <si>
    <t>O</t>
  </si>
  <si>
    <t>Auf den Stücken 4</t>
  </si>
  <si>
    <t>58455 Witten</t>
  </si>
  <si>
    <t>Ochsen</t>
  </si>
  <si>
    <t>Altbullen</t>
  </si>
  <si>
    <t xml:space="preserve">Fettstufe 4          Fettstufe 4          Fettstufe 4        Fettstufe 4   </t>
  </si>
  <si>
    <t>Fettstufe 1           Fettstufe 1         Fettstufe 1         Fettstufe 1</t>
  </si>
  <si>
    <t>Alle</t>
  </si>
  <si>
    <t xml:space="preserve">Fettstufe 3          Fettstufe 3          Fettstufe 3        Fettstufe 3   </t>
  </si>
  <si>
    <t>Tel.: 02302/1791671</t>
  </si>
  <si>
    <t>Fax: 02302/276941</t>
  </si>
  <si>
    <t>P</t>
  </si>
  <si>
    <t>P2</t>
  </si>
  <si>
    <t>O2</t>
  </si>
  <si>
    <t>U3</t>
  </si>
  <si>
    <t>R3</t>
  </si>
  <si>
    <t>Aufschläge</t>
  </si>
  <si>
    <t>Gesetzt</t>
  </si>
  <si>
    <t xml:space="preserve">Auf- bzw Abschläge für Rinder </t>
  </si>
  <si>
    <t xml:space="preserve">Auszahlungspreise frei Schachtstätte </t>
  </si>
  <si>
    <t>Jung-bullen</t>
  </si>
  <si>
    <t>Alter</t>
  </si>
  <si>
    <t>Klasse</t>
  </si>
  <si>
    <t>Pauschale Abgabe für die EZG</t>
  </si>
  <si>
    <t>pro Schwein</t>
  </si>
  <si>
    <t>pro Rind</t>
  </si>
  <si>
    <t>U (50-54%MFL)</t>
  </si>
  <si>
    <t>R (45-49%MFL)</t>
  </si>
  <si>
    <t>Deck- bzw. Altbullen</t>
  </si>
  <si>
    <t>pro kg SG</t>
  </si>
  <si>
    <t>O3</t>
  </si>
  <si>
    <t>P1</t>
  </si>
  <si>
    <t>R2</t>
  </si>
  <si>
    <t>U2</t>
  </si>
  <si>
    <t>P3</t>
  </si>
  <si>
    <t>R4</t>
  </si>
  <si>
    <t>O4</t>
  </si>
  <si>
    <t>Konventionelle Notierungen NRW lt. Lanuv</t>
  </si>
  <si>
    <t>siehe unten</t>
  </si>
  <si>
    <t>Demeter</t>
  </si>
  <si>
    <t>Fettstufe 2         Fettstufe 2         Fettstufe 2       Fettstufe 2</t>
  </si>
  <si>
    <t xml:space="preserve">Fettstufe 5+         Fettstufe 5+          Fettstufe 5+        Fettstufe 5+   </t>
  </si>
  <si>
    <t>Jungbullen-Preis</t>
  </si>
  <si>
    <t>Preise incl. nebenstehen-den Demeter -aufschlag</t>
  </si>
  <si>
    <t>E (+55%MFL) (S +0,05€/kg)</t>
  </si>
  <si>
    <t>Zielgewichte</t>
  </si>
  <si>
    <t xml:space="preserve">           Zielgewicht  bis 120 kg</t>
  </si>
  <si>
    <t>Schweine P + Sauen</t>
  </si>
  <si>
    <t>O  und &gt;150 kg</t>
  </si>
  <si>
    <t xml:space="preserve">Pauschal             alle SN &gt;120kg-150 kg </t>
  </si>
  <si>
    <r>
      <t xml:space="preserve">Auszahlungspreise Bio-Schweine </t>
    </r>
    <r>
      <rPr>
        <b/>
        <sz val="8"/>
        <rFont val="Arial"/>
        <family val="2"/>
      </rPr>
      <t xml:space="preserve">gültig </t>
    </r>
  </si>
  <si>
    <t>ab 01.01.2021</t>
  </si>
  <si>
    <t>kg/WSG</t>
  </si>
  <si>
    <t>Pauschale Abgaben pro Rind</t>
  </si>
  <si>
    <t>ab 280 kg -400 kg</t>
  </si>
  <si>
    <t>ab 300 kg bis 420 kg</t>
  </si>
  <si>
    <t>je  20 kg mehr oder weniger</t>
  </si>
  <si>
    <t>Kalkulatorische Kosten</t>
  </si>
  <si>
    <t>Schlachtung</t>
  </si>
  <si>
    <t>Transport</t>
  </si>
  <si>
    <t>Durchschnitts-gewicht für Kalulation in Kg</t>
  </si>
  <si>
    <t>Kosten  Schlachtung un Transport pro kg</t>
  </si>
  <si>
    <t>Marge</t>
  </si>
  <si>
    <t>Landwirt</t>
  </si>
  <si>
    <t>Kunde</t>
  </si>
  <si>
    <t>Marge zum Kunden pro kg</t>
  </si>
  <si>
    <t>Einzelauf-schläge gegnüber Kühe</t>
  </si>
  <si>
    <t>Aufschlag</t>
  </si>
  <si>
    <t>Vorkalkulation</t>
  </si>
  <si>
    <t>kalt, geviertelt hängend, ohne Köpfe, Innereien und Schwänze</t>
  </si>
  <si>
    <t>Auszahlungspreise frei Schachtstätte Warmschlachtgewicht</t>
  </si>
  <si>
    <t>Gewichts-differenz in Kg</t>
  </si>
  <si>
    <t>Kaltschlacht-gewicht in Kg        (3%Abzug)</t>
  </si>
  <si>
    <t xml:space="preserve">Mein Aufschlag pro kg  </t>
  </si>
  <si>
    <t>Auszahlungspreise Demeter-/Bio-Rinder</t>
  </si>
  <si>
    <t>Demeter Landbauerzeugnisse GmbH</t>
  </si>
  <si>
    <t>info@demeter-fleisch.de</t>
  </si>
  <si>
    <t>je Auszahlung Klasse 2 -0,30 €/kg</t>
  </si>
  <si>
    <t xml:space="preserve"> ab 280 kg </t>
  </si>
  <si>
    <t>ab 36 Monate</t>
  </si>
  <si>
    <t>bis 36 Monate</t>
  </si>
  <si>
    <t>Netto Preise zuzgl. MWSt / Zahlung 14 Tage nach Rechnungsstellung</t>
  </si>
  <si>
    <t>bis 40 Monate</t>
  </si>
  <si>
    <t>Färsen. Jungbullen. Ochsen</t>
  </si>
  <si>
    <t>Kühe, Deck-/Altbullen</t>
  </si>
  <si>
    <t>je  20 kg weniger</t>
  </si>
  <si>
    <t>in Seestermühe, Itzehoe, Unna, Fulda oder Bad Bevensen</t>
  </si>
  <si>
    <t>unter 250kg Kuh-Preise</t>
  </si>
  <si>
    <t>Schlachtung Fulda ab 15 Tiere, Detern, Bad Bevensen, Itzehoe und Unna ab min. 5 Tiere</t>
  </si>
  <si>
    <t>Preise frei Haus  Demeter-Rinder</t>
  </si>
  <si>
    <t>Referenzpreise LANUV  für die  17. Kw in ROT</t>
  </si>
  <si>
    <t xml:space="preserve">Auszahlungspreise Demeter-/Bio-Schweine </t>
  </si>
  <si>
    <t>200 bis 229 kg</t>
  </si>
  <si>
    <t>unter 200 kg</t>
  </si>
  <si>
    <t>unter 260kg Kuh-Preise mit Abstufung siehe unten</t>
  </si>
  <si>
    <t>Tel.: 02302/1791671                  Fax: 02302/276941</t>
  </si>
  <si>
    <t>Gewichtsdifferenz</t>
  </si>
  <si>
    <t>ab 300 kg bis 380 kg</t>
  </si>
  <si>
    <t xml:space="preserve"> ab 250 kg </t>
  </si>
  <si>
    <t>in Detern, Itzehoe, Unna, Borgholzhausen und Bad Bevensen</t>
  </si>
  <si>
    <t>Bullen (Ochsen)</t>
  </si>
  <si>
    <t xml:space="preserve">ab 300 kg (Ochsen ab 42 Monate) </t>
  </si>
  <si>
    <t>je Auszahlung Klasse 2 -0,50 €/kg</t>
  </si>
  <si>
    <t>bis 30 Monate</t>
  </si>
  <si>
    <t>ab 30 bis 36 Monate</t>
  </si>
  <si>
    <t xml:space="preserve">ab 300 kg (Ochsen 36 - 42 Monate) </t>
  </si>
  <si>
    <t>Bullen (Ochsen) 30-36 Monate</t>
  </si>
  <si>
    <t xml:space="preserve">Die genannten Preise sind Netto, also zuzüglich der für den Erzeugerbetrieb geltenden MWSt. </t>
  </si>
  <si>
    <t>Preisänderungen vorbehalten!</t>
  </si>
  <si>
    <t>Erzeuger/Lieferant</t>
  </si>
  <si>
    <t>SG</t>
  </si>
  <si>
    <t>Art</t>
  </si>
  <si>
    <t>Auszahlungs-preis Netto</t>
  </si>
  <si>
    <t>Gesamt</t>
  </si>
  <si>
    <t>R040121Ro</t>
  </si>
  <si>
    <t>Johannshof GbR, 26629 Großefehn</t>
  </si>
  <si>
    <t>E</t>
  </si>
  <si>
    <t>D</t>
  </si>
  <si>
    <t>R1</t>
  </si>
  <si>
    <t>Borchers-Junge GbR, 26160 Bad Zwischenahn</t>
  </si>
  <si>
    <t>C</t>
  </si>
  <si>
    <t>R110121Iz</t>
  </si>
  <si>
    <t>Dirk Schoof, 25761 Hedwigenkoog</t>
  </si>
  <si>
    <t>Dirk Kock Rohwer, 24620 Bönebüttel</t>
  </si>
  <si>
    <t>R110221Iz</t>
  </si>
  <si>
    <t>Gut Wulfsdorf, 22926 Ahrensburg</t>
  </si>
  <si>
    <t>Marten Oest, 21762 Otterndorf</t>
  </si>
  <si>
    <t>A</t>
  </si>
  <si>
    <t>R110121SF</t>
  </si>
  <si>
    <t>Gut Sambach, 99974 Mühlhausen</t>
  </si>
  <si>
    <t>R5</t>
  </si>
  <si>
    <t>R010221IZ</t>
  </si>
  <si>
    <t>Jan Iding, 23715 Bosau</t>
  </si>
  <si>
    <t>R010221Iz</t>
  </si>
  <si>
    <t>Armin Schritt, 23777 Heringsdorf</t>
  </si>
  <si>
    <t>Kosten</t>
  </si>
  <si>
    <t>Preis</t>
  </si>
  <si>
    <t>LWL</t>
  </si>
  <si>
    <t>Demeter Erlöse</t>
  </si>
  <si>
    <t>Demeter Auslage</t>
  </si>
  <si>
    <t>Tiere Insgesamt</t>
  </si>
  <si>
    <t>Rolfes R040121Ro</t>
  </si>
  <si>
    <t>Schlachten</t>
  </si>
  <si>
    <t>Basche R110121Iz</t>
  </si>
  <si>
    <t>Fulda R110121SF</t>
  </si>
  <si>
    <t>Basche R010221Iz</t>
  </si>
  <si>
    <t>Transport Tiere</t>
  </si>
  <si>
    <t>Eurofresh 05.01.2021 Rolfes</t>
  </si>
  <si>
    <t>RF Itzhoe</t>
  </si>
  <si>
    <t>Eurofresh 12.01.2021 Fulda</t>
  </si>
  <si>
    <t>Zerlegung pro Tier LWL</t>
  </si>
  <si>
    <t>Feinschnitt / Vakuumierung kg schier</t>
  </si>
  <si>
    <t>Verarbeitung 3mm</t>
  </si>
  <si>
    <t>Analsyen</t>
  </si>
  <si>
    <t>Analysen</t>
  </si>
  <si>
    <t>Analsyen pro Lieferung</t>
  </si>
  <si>
    <t>Anteil</t>
  </si>
  <si>
    <t>Transporte</t>
  </si>
  <si>
    <t>zu den Kunden</t>
  </si>
  <si>
    <t>Organisation Demeter Landbau Tiere</t>
  </si>
  <si>
    <t>Gesamt Kosten Tiere</t>
  </si>
  <si>
    <t>Erlöse</t>
  </si>
  <si>
    <t>kg</t>
  </si>
  <si>
    <t>Bauckhof R04021Ro Färsen Johannshof</t>
  </si>
  <si>
    <t>Schröder R110121Iz</t>
  </si>
  <si>
    <t>Bauckhof R110121Iz</t>
  </si>
  <si>
    <t>Schröders R010221Iz</t>
  </si>
  <si>
    <t>Bauckhof R010221Iz</t>
  </si>
  <si>
    <t>Kauf LFW aus allen Schlachtungn</t>
  </si>
  <si>
    <t>Sunval RE20</t>
  </si>
  <si>
    <t>Gesamt Erlöse</t>
  </si>
  <si>
    <t>Deckungsbeitrag II</t>
  </si>
  <si>
    <t>Aufschlag Gesamt</t>
  </si>
  <si>
    <t>Spanne</t>
  </si>
  <si>
    <t>ab 15.06.2022</t>
  </si>
  <si>
    <t>RD- 01-21 mit  Preisen 01.08.2025</t>
  </si>
  <si>
    <t>Kalt</t>
  </si>
  <si>
    <t>230 bis 249 kg</t>
  </si>
  <si>
    <t xml:space="preserve">ab 300 kg </t>
  </si>
  <si>
    <t>&gt;55,5% Magerfleisch</t>
  </si>
  <si>
    <t>53% - 55,5% Magerfleisch</t>
  </si>
  <si>
    <t>120kg bis 130kg</t>
  </si>
  <si>
    <t>über 130 kg</t>
  </si>
  <si>
    <t xml:space="preserve">           Zielgewicht 85 bis 120 kg</t>
  </si>
  <si>
    <t>ab 01.07.2026</t>
  </si>
  <si>
    <t>ab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</si>
</sst>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\ _€_-;\-* #,##0.0\ _€_-;_-* &quot;-&quot;??\ _€_-;_-@_-"/>
    <numFmt numFmtId="167" formatCode="_-* #,##0\ _€_-;\-* #,##0\ _€_-;_-* &quot;-&quot;??\ _€_-;_-@_-"/>
    <numFmt numFmtId="168" formatCode="_-* #,##0.00\ [$€-407]_-;\-* #,##0.00\ [$€-407]_-;_-* &quot;-&quot;??\ [$€-407]_-;_-@_-"/>
    <numFmt numFmtId="169" formatCode="#,##0.0000\ &quot;€&quot;"/>
  </numFmts>
  <fonts count="2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2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165" fontId="3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0" xfId="0" applyFont="1" applyBorder="1" applyAlignment="1">
      <alignment horizontal="center" vertical="center" wrapText="1"/>
    </xf>
    <xf numFmtId="165" fontId="5" fillId="0" borderId="0" xfId="0" applyNumberFormat="1" applyFont="1"/>
    <xf numFmtId="0" fontId="5" fillId="0" borderId="11" xfId="0" applyFont="1" applyBorder="1"/>
    <xf numFmtId="165" fontId="10" fillId="2" borderId="4" xfId="0" applyNumberFormat="1" applyFont="1" applyFill="1" applyBorder="1"/>
    <xf numFmtId="0" fontId="3" fillId="0" borderId="6" xfId="0" applyFont="1" applyBorder="1" applyAlignment="1">
      <alignment horizontal="left"/>
    </xf>
    <xf numFmtId="0" fontId="3" fillId="0" borderId="3" xfId="0" applyFont="1" applyBorder="1"/>
    <xf numFmtId="0" fontId="5" fillId="0" borderId="12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5" fontId="10" fillId="0" borderId="6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5" fontId="3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0" xfId="0" applyFont="1"/>
    <xf numFmtId="0" fontId="12" fillId="0" borderId="0" xfId="3" applyFont="1" applyBorder="1" applyAlignment="1" applyProtection="1"/>
    <xf numFmtId="0" fontId="13" fillId="0" borderId="0" xfId="0" applyFont="1"/>
    <xf numFmtId="0" fontId="3" fillId="0" borderId="17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165" fontId="9" fillId="0" borderId="18" xfId="1" applyNumberFormat="1" applyFont="1" applyBorder="1" applyAlignment="1">
      <alignment horizontal="center"/>
    </xf>
    <xf numFmtId="165" fontId="9" fillId="0" borderId="18" xfId="0" applyNumberFormat="1" applyFont="1" applyBorder="1" applyAlignment="1">
      <alignment horizontal="center"/>
    </xf>
    <xf numFmtId="0" fontId="9" fillId="0" borderId="19" xfId="0" applyFont="1" applyBorder="1"/>
    <xf numFmtId="165" fontId="9" fillId="0" borderId="20" xfId="1" applyNumberFormat="1" applyFont="1" applyBorder="1" applyAlignment="1">
      <alignment horizontal="center"/>
    </xf>
    <xf numFmtId="0" fontId="9" fillId="0" borderId="1" xfId="0" applyFont="1" applyBorder="1"/>
    <xf numFmtId="0" fontId="9" fillId="0" borderId="21" xfId="0" applyFont="1" applyBorder="1"/>
    <xf numFmtId="165" fontId="9" fillId="0" borderId="22" xfId="1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 vertical="center"/>
    </xf>
    <xf numFmtId="165" fontId="9" fillId="0" borderId="15" xfId="1" applyNumberFormat="1" applyFont="1" applyBorder="1" applyAlignment="1">
      <alignment horizontal="center" vertical="center"/>
    </xf>
    <xf numFmtId="165" fontId="9" fillId="0" borderId="23" xfId="1" applyNumberFormat="1" applyFont="1" applyBorder="1" applyAlignment="1">
      <alignment horizontal="center" vertical="center"/>
    </xf>
    <xf numFmtId="165" fontId="9" fillId="0" borderId="23" xfId="1" applyNumberFormat="1" applyFont="1" applyFill="1" applyBorder="1" applyAlignment="1">
      <alignment horizontal="center" vertical="center"/>
    </xf>
    <xf numFmtId="165" fontId="9" fillId="0" borderId="24" xfId="1" applyNumberFormat="1" applyFont="1" applyBorder="1" applyAlignment="1">
      <alignment horizontal="center" vertical="center"/>
    </xf>
    <xf numFmtId="165" fontId="9" fillId="0" borderId="25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6" xfId="0" applyFont="1" applyBorder="1"/>
    <xf numFmtId="0" fontId="9" fillId="0" borderId="27" xfId="0" applyFont="1" applyBorder="1"/>
    <xf numFmtId="0" fontId="9" fillId="0" borderId="28" xfId="0" applyFont="1" applyBorder="1"/>
    <xf numFmtId="165" fontId="9" fillId="0" borderId="28" xfId="1" applyNumberFormat="1" applyFont="1" applyBorder="1" applyAlignment="1">
      <alignment horizontal="center"/>
    </xf>
    <xf numFmtId="165" fontId="9" fillId="0" borderId="29" xfId="1" applyNumberFormat="1" applyFont="1" applyBorder="1"/>
    <xf numFmtId="165" fontId="9" fillId="0" borderId="0" xfId="1" applyNumberFormat="1" applyFont="1" applyBorder="1"/>
    <xf numFmtId="165" fontId="9" fillId="0" borderId="0" xfId="0" applyNumberFormat="1" applyFont="1"/>
    <xf numFmtId="165" fontId="14" fillId="0" borderId="6" xfId="1" applyNumberFormat="1" applyFon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0" fillId="0" borderId="31" xfId="0" applyNumberFormat="1" applyBorder="1" applyAlignment="1">
      <alignment horizontal="center"/>
    </xf>
    <xf numFmtId="165" fontId="14" fillId="0" borderId="2" xfId="0" applyNumberFormat="1" applyFont="1" applyBorder="1" applyAlignment="1">
      <alignment horizontal="center" vertical="center"/>
    </xf>
    <xf numFmtId="165" fontId="14" fillId="0" borderId="32" xfId="0" applyNumberFormat="1" applyFont="1" applyBorder="1" applyAlignment="1">
      <alignment horizontal="center" vertical="center"/>
    </xf>
    <xf numFmtId="165" fontId="15" fillId="0" borderId="32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65" fontId="15" fillId="0" borderId="21" xfId="0" applyNumberFormat="1" applyFont="1" applyBorder="1" applyAlignment="1">
      <alignment horizontal="center" vertical="center"/>
    </xf>
    <xf numFmtId="165" fontId="0" fillId="0" borderId="33" xfId="0" applyNumberForma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9" fillId="0" borderId="18" xfId="1" applyNumberFormat="1" applyFont="1" applyBorder="1" applyAlignment="1">
      <alignment horizontal="center" vertical="center"/>
    </xf>
    <xf numFmtId="165" fontId="9" fillId="0" borderId="34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35" xfId="0" applyFont="1" applyBorder="1"/>
    <xf numFmtId="165" fontId="9" fillId="0" borderId="35" xfId="0" applyNumberFormat="1" applyFont="1" applyBorder="1"/>
    <xf numFmtId="165" fontId="9" fillId="0" borderId="36" xfId="1" applyNumberFormat="1" applyFont="1" applyBorder="1" applyAlignment="1">
      <alignment horizontal="center"/>
    </xf>
    <xf numFmtId="9" fontId="9" fillId="0" borderId="36" xfId="0" applyNumberFormat="1" applyFont="1" applyBorder="1" applyAlignment="1">
      <alignment horizontal="center"/>
    </xf>
    <xf numFmtId="165" fontId="9" fillId="0" borderId="37" xfId="0" applyNumberFormat="1" applyFont="1" applyBorder="1"/>
    <xf numFmtId="0" fontId="10" fillId="0" borderId="2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8" fillId="0" borderId="0" xfId="3" applyBorder="1" applyAlignment="1" applyProtection="1"/>
    <xf numFmtId="165" fontId="9" fillId="0" borderId="0" xfId="1" applyNumberFormat="1" applyFont="1" applyBorder="1" applyAlignment="1">
      <alignment horizontal="center"/>
    </xf>
    <xf numFmtId="0" fontId="2" fillId="0" borderId="12" xfId="0" applyFont="1" applyBorder="1"/>
    <xf numFmtId="14" fontId="2" fillId="0" borderId="19" xfId="0" applyNumberFormat="1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5" fillId="0" borderId="9" xfId="0" applyFont="1" applyBorder="1"/>
    <xf numFmtId="165" fontId="9" fillId="0" borderId="21" xfId="0" applyNumberFormat="1" applyFont="1" applyBorder="1" applyAlignment="1">
      <alignment horizontal="center" vertical="center"/>
    </xf>
    <xf numFmtId="165" fontId="9" fillId="0" borderId="21" xfId="0" applyNumberFormat="1" applyFont="1" applyBorder="1"/>
    <xf numFmtId="165" fontId="9" fillId="0" borderId="22" xfId="0" applyNumberFormat="1" applyFont="1" applyBorder="1"/>
    <xf numFmtId="0" fontId="3" fillId="0" borderId="8" xfId="0" applyFont="1" applyBorder="1"/>
    <xf numFmtId="0" fontId="5" fillId="0" borderId="3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65" fontId="9" fillId="0" borderId="6" xfId="1" applyNumberFormat="1" applyFont="1" applyBorder="1" applyAlignment="1">
      <alignment horizontal="center" vertical="center"/>
    </xf>
    <xf numFmtId="165" fontId="9" fillId="0" borderId="41" xfId="1" applyNumberFormat="1" applyFont="1" applyFill="1" applyBorder="1" applyAlignment="1">
      <alignment horizontal="center" vertical="center"/>
    </xf>
    <xf numFmtId="165" fontId="9" fillId="0" borderId="41" xfId="1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left"/>
    </xf>
    <xf numFmtId="0" fontId="16" fillId="4" borderId="0" xfId="0" applyFont="1" applyFill="1"/>
    <xf numFmtId="0" fontId="4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17" fillId="4" borderId="15" xfId="0" applyFont="1" applyFill="1" applyBorder="1" applyAlignment="1">
      <alignment horizontal="center"/>
    </xf>
    <xf numFmtId="165" fontId="9" fillId="0" borderId="15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5" fillId="0" borderId="19" xfId="0" applyFont="1" applyBorder="1" applyAlignment="1">
      <alignment horizontal="center" vertical="center" wrapText="1"/>
    </xf>
    <xf numFmtId="0" fontId="5" fillId="0" borderId="27" xfId="0" applyFont="1" applyBorder="1"/>
    <xf numFmtId="44" fontId="9" fillId="0" borderId="27" xfId="4" applyFont="1" applyBorder="1"/>
    <xf numFmtId="165" fontId="9" fillId="0" borderId="18" xfId="1" applyNumberFormat="1" applyFont="1" applyFill="1" applyBorder="1" applyAlignment="1">
      <alignment horizontal="center" vertical="center"/>
    </xf>
    <xf numFmtId="165" fontId="9" fillId="0" borderId="35" xfId="1" applyNumberFormat="1" applyFont="1" applyFill="1" applyBorder="1" applyAlignment="1">
      <alignment horizontal="center" vertical="center"/>
    </xf>
    <xf numFmtId="165" fontId="9" fillId="0" borderId="4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164" fontId="9" fillId="0" borderId="0" xfId="0" applyNumberFormat="1" applyFont="1"/>
    <xf numFmtId="165" fontId="9" fillId="0" borderId="42" xfId="1" applyNumberFormat="1" applyFont="1" applyBorder="1" applyAlignment="1">
      <alignment horizontal="center" vertical="center"/>
    </xf>
    <xf numFmtId="165" fontId="9" fillId="0" borderId="43" xfId="1" applyNumberFormat="1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165" fontId="3" fillId="5" borderId="8" xfId="0" applyNumberFormat="1" applyFont="1" applyFill="1" applyBorder="1" applyAlignment="1">
      <alignment horizontal="center" vertical="center" wrapText="1"/>
    </xf>
    <xf numFmtId="165" fontId="3" fillId="5" borderId="1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7" fontId="3" fillId="5" borderId="1" xfId="2" applyNumberFormat="1" applyFont="1" applyFill="1" applyBorder="1" applyAlignment="1">
      <alignment vertical="center" wrapText="1"/>
    </xf>
    <xf numFmtId="167" fontId="3" fillId="5" borderId="13" xfId="2" applyNumberFormat="1" applyFont="1" applyFill="1" applyBorder="1" applyAlignment="1">
      <alignment vertical="center" wrapText="1"/>
    </xf>
    <xf numFmtId="166" fontId="3" fillId="5" borderId="1" xfId="2" applyNumberFormat="1" applyFont="1" applyFill="1" applyBorder="1" applyAlignment="1">
      <alignment horizontal="center" vertical="center" wrapText="1"/>
    </xf>
    <xf numFmtId="165" fontId="14" fillId="5" borderId="6" xfId="0" applyNumberFormat="1" applyFont="1" applyFill="1" applyBorder="1" applyAlignment="1">
      <alignment horizontal="center" vertical="center"/>
    </xf>
    <xf numFmtId="165" fontId="14" fillId="5" borderId="2" xfId="0" applyNumberFormat="1" applyFont="1" applyFill="1" applyBorder="1" applyAlignment="1">
      <alignment horizontal="center" vertical="center"/>
    </xf>
    <xf numFmtId="165" fontId="14" fillId="5" borderId="1" xfId="0" applyNumberFormat="1" applyFont="1" applyFill="1" applyBorder="1" applyAlignment="1">
      <alignment horizontal="center" vertical="center"/>
    </xf>
    <xf numFmtId="168" fontId="9" fillId="5" borderId="27" xfId="0" applyNumberFormat="1" applyFont="1" applyFill="1" applyBorder="1"/>
    <xf numFmtId="44" fontId="9" fillId="5" borderId="27" xfId="4" applyFont="1" applyFill="1" applyBorder="1"/>
    <xf numFmtId="165" fontId="0" fillId="5" borderId="24" xfId="0" applyNumberFormat="1" applyFill="1" applyBorder="1" applyAlignment="1">
      <alignment horizontal="center"/>
    </xf>
    <xf numFmtId="165" fontId="0" fillId="5" borderId="25" xfId="0" applyNumberFormat="1" applyFill="1" applyBorder="1" applyAlignment="1">
      <alignment horizontal="center"/>
    </xf>
    <xf numFmtId="165" fontId="9" fillId="5" borderId="3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9" fillId="0" borderId="44" xfId="0" applyFont="1" applyBorder="1"/>
    <xf numFmtId="168" fontId="3" fillId="0" borderId="1" xfId="2" applyNumberFormat="1" applyFont="1" applyBorder="1" applyAlignment="1">
      <alignment vertical="center" wrapText="1"/>
    </xf>
    <xf numFmtId="168" fontId="3" fillId="4" borderId="1" xfId="2" applyNumberFormat="1" applyFont="1" applyFill="1" applyBorder="1" applyAlignment="1">
      <alignment vertical="center" wrapText="1"/>
    </xf>
    <xf numFmtId="2" fontId="9" fillId="0" borderId="0" xfId="0" applyNumberFormat="1" applyFont="1"/>
    <xf numFmtId="0" fontId="9" fillId="0" borderId="20" xfId="0" applyFont="1" applyBorder="1"/>
    <xf numFmtId="165" fontId="9" fillId="4" borderId="24" xfId="1" applyNumberFormat="1" applyFont="1" applyFill="1" applyBorder="1" applyAlignment="1">
      <alignment horizontal="center" vertical="center"/>
    </xf>
    <xf numFmtId="165" fontId="9" fillId="4" borderId="25" xfId="1" applyNumberFormat="1" applyFont="1" applyFill="1" applyBorder="1" applyAlignment="1">
      <alignment horizontal="center" vertical="center"/>
    </xf>
    <xf numFmtId="165" fontId="9" fillId="0" borderId="37" xfId="0" applyNumberFormat="1" applyFont="1" applyBorder="1" applyAlignment="1">
      <alignment horizontal="center"/>
    </xf>
    <xf numFmtId="165" fontId="9" fillId="4" borderId="6" xfId="1" applyNumberFormat="1" applyFont="1" applyFill="1" applyBorder="1" applyAlignment="1">
      <alignment horizontal="center" vertical="center"/>
    </xf>
    <xf numFmtId="165" fontId="9" fillId="4" borderId="1" xfId="1" applyNumberFormat="1" applyFont="1" applyFill="1" applyBorder="1" applyAlignment="1">
      <alignment horizontal="center" vertical="center"/>
    </xf>
    <xf numFmtId="165" fontId="9" fillId="0" borderId="24" xfId="1" applyNumberFormat="1" applyFont="1" applyFill="1" applyBorder="1" applyAlignment="1">
      <alignment horizontal="center" vertical="center"/>
    </xf>
    <xf numFmtId="44" fontId="9" fillId="0" borderId="0" xfId="4" applyFont="1"/>
    <xf numFmtId="44" fontId="9" fillId="0" borderId="0" xfId="0" applyNumberFormat="1" applyFont="1"/>
    <xf numFmtId="0" fontId="0" fillId="0" borderId="27" xfId="0" applyBorder="1"/>
    <xf numFmtId="0" fontId="5" fillId="0" borderId="52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9" fillId="0" borderId="52" xfId="0" applyFont="1" applyBorder="1"/>
    <xf numFmtId="0" fontId="0" fillId="0" borderId="53" xfId="0" applyBorder="1"/>
    <xf numFmtId="0" fontId="9" fillId="0" borderId="27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0" fillId="0" borderId="53" xfId="0" applyNumberFormat="1" applyBorder="1"/>
    <xf numFmtId="165" fontId="0" fillId="0" borderId="0" xfId="0" applyNumberFormat="1"/>
    <xf numFmtId="0" fontId="9" fillId="0" borderId="29" xfId="0" applyFont="1" applyBorder="1" applyAlignment="1">
      <alignment horizontal="center"/>
    </xf>
    <xf numFmtId="0" fontId="0" fillId="0" borderId="54" xfId="0" applyBorder="1"/>
    <xf numFmtId="4" fontId="0" fillId="0" borderId="49" xfId="0" applyNumberFormat="1" applyBorder="1"/>
    <xf numFmtId="4" fontId="0" fillId="0" borderId="48" xfId="0" applyNumberFormat="1" applyBorder="1"/>
    <xf numFmtId="0" fontId="0" fillId="0" borderId="48" xfId="0" applyBorder="1"/>
    <xf numFmtId="165" fontId="0" fillId="0" borderId="49" xfId="0" applyNumberFormat="1" applyBorder="1"/>
    <xf numFmtId="165" fontId="0" fillId="0" borderId="55" xfId="0" applyNumberFormat="1" applyBorder="1"/>
    <xf numFmtId="10" fontId="0" fillId="0" borderId="0" xfId="0" applyNumberFormat="1"/>
    <xf numFmtId="0" fontId="5" fillId="0" borderId="17" xfId="0" applyFont="1" applyBorder="1"/>
    <xf numFmtId="0" fontId="5" fillId="0" borderId="45" xfId="0" applyFont="1" applyBorder="1" applyAlignment="1">
      <alignment horizontal="center"/>
    </xf>
    <xf numFmtId="165" fontId="5" fillId="0" borderId="46" xfId="0" applyNumberFormat="1" applyFont="1" applyBorder="1" applyAlignment="1">
      <alignment horizontal="center"/>
    </xf>
    <xf numFmtId="0" fontId="9" fillId="0" borderId="15" xfId="0" applyFont="1" applyBorder="1"/>
    <xf numFmtId="0" fontId="9" fillId="0" borderId="52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 wrapText="1"/>
    </xf>
    <xf numFmtId="0" fontId="9" fillId="0" borderId="11" xfId="0" applyFont="1" applyBorder="1"/>
    <xf numFmtId="168" fontId="0" fillId="0" borderId="27" xfId="0" applyNumberFormat="1" applyBorder="1"/>
    <xf numFmtId="168" fontId="0" fillId="0" borderId="36" xfId="0" applyNumberFormat="1" applyBorder="1"/>
    <xf numFmtId="0" fontId="0" fillId="0" borderId="18" xfId="0" applyBorder="1"/>
    <xf numFmtId="168" fontId="0" fillId="0" borderId="52" xfId="0" applyNumberFormat="1" applyBorder="1"/>
    <xf numFmtId="0" fontId="0" fillId="0" borderId="36" xfId="0" applyBorder="1"/>
    <xf numFmtId="0" fontId="0" fillId="0" borderId="27" xfId="0" applyBorder="1" applyAlignment="1">
      <alignment horizontal="center"/>
    </xf>
    <xf numFmtId="165" fontId="0" fillId="0" borderId="36" xfId="0" applyNumberFormat="1" applyBorder="1"/>
    <xf numFmtId="165" fontId="0" fillId="0" borderId="27" xfId="0" applyNumberFormat="1" applyBorder="1"/>
    <xf numFmtId="4" fontId="0" fillId="0" borderId="27" xfId="0" applyNumberFormat="1" applyBorder="1" applyAlignment="1">
      <alignment horizontal="center"/>
    </xf>
    <xf numFmtId="44" fontId="0" fillId="0" borderId="27" xfId="6" applyFont="1" applyBorder="1"/>
    <xf numFmtId="2" fontId="0" fillId="0" borderId="18" xfId="0" applyNumberFormat="1" applyBorder="1" applyAlignment="1">
      <alignment horizontal="center"/>
    </xf>
    <xf numFmtId="0" fontId="5" fillId="4" borderId="11" xfId="0" applyFont="1" applyFill="1" applyBorder="1"/>
    <xf numFmtId="4" fontId="0" fillId="4" borderId="27" xfId="0" applyNumberFormat="1" applyFill="1" applyBorder="1" applyAlignment="1">
      <alignment horizontal="center"/>
    </xf>
    <xf numFmtId="165" fontId="0" fillId="4" borderId="27" xfId="0" applyNumberFormat="1" applyFill="1" applyBorder="1"/>
    <xf numFmtId="165" fontId="0" fillId="4" borderId="36" xfId="0" applyNumberFormat="1" applyFill="1" applyBorder="1"/>
    <xf numFmtId="0" fontId="9" fillId="6" borderId="11" xfId="0" applyFont="1" applyFill="1" applyBorder="1"/>
    <xf numFmtId="4" fontId="0" fillId="6" borderId="27" xfId="0" applyNumberFormat="1" applyFill="1" applyBorder="1" applyAlignment="1">
      <alignment horizontal="center"/>
    </xf>
    <xf numFmtId="165" fontId="0" fillId="6" borderId="27" xfId="0" applyNumberFormat="1" applyFill="1" applyBorder="1"/>
    <xf numFmtId="165" fontId="0" fillId="6" borderId="36" xfId="0" applyNumberFormat="1" applyFill="1" applyBorder="1"/>
    <xf numFmtId="2" fontId="0" fillId="6" borderId="18" xfId="0" applyNumberFormat="1" applyFill="1" applyBorder="1" applyAlignment="1">
      <alignment horizontal="center"/>
    </xf>
    <xf numFmtId="168" fontId="0" fillId="6" borderId="52" xfId="0" applyNumberFormat="1" applyFill="1" applyBorder="1"/>
    <xf numFmtId="0" fontId="0" fillId="6" borderId="11" xfId="0" applyFill="1" applyBorder="1"/>
    <xf numFmtId="0" fontId="0" fillId="0" borderId="11" xfId="0" applyBorder="1"/>
    <xf numFmtId="4" fontId="9" fillId="6" borderId="27" xfId="0" applyNumberFormat="1" applyFont="1" applyFill="1" applyBorder="1" applyAlignment="1">
      <alignment horizontal="center"/>
    </xf>
    <xf numFmtId="44" fontId="9" fillId="6" borderId="27" xfId="6" applyFont="1" applyFill="1" applyBorder="1"/>
    <xf numFmtId="165" fontId="19" fillId="6" borderId="36" xfId="0" applyNumberFormat="1" applyFont="1" applyFill="1" applyBorder="1"/>
    <xf numFmtId="168" fontId="0" fillId="6" borderId="27" xfId="0" applyNumberFormat="1" applyFill="1" applyBorder="1"/>
    <xf numFmtId="0" fontId="9" fillId="0" borderId="56" xfId="0" applyFont="1" applyBorder="1"/>
    <xf numFmtId="4" fontId="0" fillId="0" borderId="53" xfId="0" applyNumberFormat="1" applyBorder="1" applyAlignment="1">
      <alignment horizontal="center"/>
    </xf>
    <xf numFmtId="165" fontId="0" fillId="0" borderId="57" xfId="0" applyNumberFormat="1" applyBorder="1"/>
    <xf numFmtId="168" fontId="0" fillId="0" borderId="52" xfId="0" applyNumberFormat="1" applyBorder="1" applyAlignment="1">
      <alignment horizontal="center"/>
    </xf>
    <xf numFmtId="0" fontId="5" fillId="0" borderId="38" xfId="0" applyFont="1" applyBorder="1"/>
    <xf numFmtId="0" fontId="0" fillId="0" borderId="48" xfId="0" applyBorder="1" applyAlignment="1">
      <alignment horizontal="center"/>
    </xf>
    <xf numFmtId="44" fontId="0" fillId="0" borderId="48" xfId="6" applyFont="1" applyBorder="1"/>
    <xf numFmtId="165" fontId="0" fillId="0" borderId="58" xfId="0" applyNumberFormat="1" applyBorder="1"/>
    <xf numFmtId="2" fontId="0" fillId="0" borderId="35" xfId="0" applyNumberForma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165" fontId="5" fillId="0" borderId="28" xfId="0" applyNumberFormat="1" applyFont="1" applyBorder="1"/>
    <xf numFmtId="14" fontId="9" fillId="0" borderId="11" xfId="0" applyNumberFormat="1" applyFont="1" applyBorder="1"/>
    <xf numFmtId="0" fontId="5" fillId="0" borderId="53" xfId="0" applyFont="1" applyBorder="1" applyAlignment="1">
      <alignment horizontal="center"/>
    </xf>
    <xf numFmtId="0" fontId="0" fillId="0" borderId="56" xfId="0" applyBorder="1"/>
    <xf numFmtId="0" fontId="0" fillId="0" borderId="53" xfId="0" applyBorder="1" applyAlignment="1">
      <alignment horizontal="center"/>
    </xf>
    <xf numFmtId="44" fontId="0" fillId="0" borderId="59" xfId="7" applyFont="1" applyBorder="1"/>
    <xf numFmtId="165" fontId="0" fillId="0" borderId="60" xfId="0" applyNumberFormat="1" applyBorder="1"/>
    <xf numFmtId="0" fontId="5" fillId="0" borderId="48" xfId="0" applyFont="1" applyBorder="1" applyAlignment="1">
      <alignment horizontal="center"/>
    </xf>
    <xf numFmtId="165" fontId="0" fillId="0" borderId="48" xfId="0" applyNumberFormat="1" applyBorder="1"/>
    <xf numFmtId="165" fontId="5" fillId="0" borderId="49" xfId="0" applyNumberFormat="1" applyFont="1" applyBorder="1"/>
    <xf numFmtId="2" fontId="0" fillId="0" borderId="0" xfId="0" applyNumberFormat="1"/>
    <xf numFmtId="44" fontId="0" fillId="0" borderId="0" xfId="7" applyFont="1" applyBorder="1" applyAlignment="1">
      <alignment horizontal="center"/>
    </xf>
    <xf numFmtId="0" fontId="9" fillId="0" borderId="8" xfId="0" applyFont="1" applyBorder="1"/>
    <xf numFmtId="10" fontId="9" fillId="7" borderId="40" xfId="8" applyNumberFormat="1" applyFont="1" applyFill="1" applyBorder="1"/>
    <xf numFmtId="0" fontId="0" fillId="0" borderId="40" xfId="0" applyBorder="1"/>
    <xf numFmtId="165" fontId="0" fillId="0" borderId="39" xfId="0" applyNumberFormat="1" applyBorder="1"/>
    <xf numFmtId="0" fontId="0" fillId="0" borderId="0" xfId="0" applyAlignment="1">
      <alignment horizontal="right"/>
    </xf>
    <xf numFmtId="10" fontId="0" fillId="0" borderId="0" xfId="8" applyNumberFormat="1" applyFont="1"/>
    <xf numFmtId="168" fontId="0" fillId="0" borderId="53" xfId="0" applyNumberFormat="1" applyBorder="1"/>
    <xf numFmtId="168" fontId="6" fillId="0" borderId="13" xfId="0" applyNumberFormat="1" applyFont="1" applyBorder="1"/>
    <xf numFmtId="168" fontId="0" fillId="0" borderId="49" xfId="0" applyNumberFormat="1" applyBorder="1"/>
    <xf numFmtId="0" fontId="0" fillId="0" borderId="61" xfId="0" applyBorder="1"/>
    <xf numFmtId="10" fontId="0" fillId="0" borderId="61" xfId="8" applyNumberFormat="1" applyFont="1" applyBorder="1"/>
    <xf numFmtId="10" fontId="0" fillId="0" borderId="27" xfId="8" applyNumberFormat="1" applyFont="1" applyBorder="1"/>
    <xf numFmtId="10" fontId="0" fillId="0" borderId="0" xfId="9" applyNumberFormat="1" applyFont="1"/>
    <xf numFmtId="169" fontId="0" fillId="0" borderId="48" xfId="0" applyNumberFormat="1" applyBorder="1" applyAlignment="1">
      <alignment horizontal="center"/>
    </xf>
    <xf numFmtId="44" fontId="0" fillId="0" borderId="0" xfId="4" applyFont="1"/>
    <xf numFmtId="0" fontId="9" fillId="0" borderId="39" xfId="0" applyFont="1" applyBorder="1"/>
    <xf numFmtId="0" fontId="9" fillId="0" borderId="13" xfId="0" applyFont="1" applyBorder="1"/>
    <xf numFmtId="168" fontId="0" fillId="0" borderId="0" xfId="0" applyNumberFormat="1"/>
    <xf numFmtId="44" fontId="0" fillId="0" borderId="27" xfId="4" applyFont="1" applyBorder="1"/>
    <xf numFmtId="165" fontId="5" fillId="0" borderId="27" xfId="0" applyNumberFormat="1" applyFont="1" applyBorder="1"/>
    <xf numFmtId="164" fontId="5" fillId="0" borderId="27" xfId="5" applyFont="1" applyBorder="1"/>
    <xf numFmtId="165" fontId="1" fillId="0" borderId="18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left"/>
    </xf>
    <xf numFmtId="165" fontId="5" fillId="0" borderId="17" xfId="1" applyNumberFormat="1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165" fontId="9" fillId="0" borderId="7" xfId="1" applyNumberFormat="1" applyFont="1" applyBorder="1" applyAlignment="1">
      <alignment horizontal="center" vertical="center"/>
    </xf>
    <xf numFmtId="0" fontId="9" fillId="0" borderId="29" xfId="0" applyFont="1" applyBorder="1"/>
    <xf numFmtId="0" fontId="0" fillId="0" borderId="44" xfId="0" applyBorder="1"/>
    <xf numFmtId="44" fontId="5" fillId="3" borderId="17" xfId="1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4" fontId="5" fillId="3" borderId="38" xfId="1" applyFont="1" applyFill="1" applyBorder="1" applyAlignment="1">
      <alignment horizontal="center"/>
    </xf>
    <xf numFmtId="0" fontId="5" fillId="3" borderId="47" xfId="0" applyFont="1" applyFill="1" applyBorder="1" applyAlignment="1">
      <alignment horizontal="center"/>
    </xf>
    <xf numFmtId="0" fontId="5" fillId="3" borderId="48" xfId="0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44" fontId="5" fillId="3" borderId="51" xfId="1" applyFont="1" applyFill="1" applyBorder="1" applyAlignment="1">
      <alignment horizontal="center"/>
    </xf>
    <xf numFmtId="44" fontId="5" fillId="3" borderId="10" xfId="1" applyFont="1" applyFill="1" applyBorder="1" applyAlignment="1">
      <alignment horizontal="center"/>
    </xf>
  </cellXfs>
  <cellStyles count="10">
    <cellStyle name="Euro" xfId="1" xr:uid="{00000000-0005-0000-0000-000000000000}"/>
    <cellStyle name="Euro 2" xfId="7" xr:uid="{00000000-0005-0000-0000-000001000000}"/>
    <cellStyle name="Komma" xfId="2" builtinId="3"/>
    <cellStyle name="Komma 2" xfId="5" xr:uid="{00000000-0005-0000-0000-000003000000}"/>
    <cellStyle name="Link" xfId="3" builtinId="8"/>
    <cellStyle name="Prozent" xfId="9" builtinId="5"/>
    <cellStyle name="Prozent 2" xfId="8" xr:uid="{00000000-0005-0000-0000-000005000000}"/>
    <cellStyle name="Standard" xfId="0" builtinId="0"/>
    <cellStyle name="Währung" xfId="4" builtinId="4"/>
    <cellStyle name="Währung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emeter-fleisch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demeter-fleisch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7"/>
  <sheetViews>
    <sheetView tabSelected="1" topLeftCell="A10" workbookViewId="0">
      <selection activeCell="K22" sqref="K22"/>
    </sheetView>
  </sheetViews>
  <sheetFormatPr baseColWidth="10" defaultRowHeight="12.75" x14ac:dyDescent="0.2"/>
  <cols>
    <col min="1" max="1" width="2.28515625" style="34" customWidth="1"/>
    <col min="2" max="2" width="15.42578125" style="34" customWidth="1"/>
    <col min="3" max="3" width="11.42578125" style="34"/>
    <col min="4" max="4" width="12.140625" style="34" customWidth="1"/>
    <col min="5" max="5" width="11.42578125" style="34"/>
    <col min="6" max="6" width="14.28515625" style="34" customWidth="1"/>
    <col min="7" max="7" width="14.85546875" style="34" customWidth="1"/>
    <col min="8" max="8" width="14.7109375" style="34" customWidth="1"/>
    <col min="9" max="9" width="3.5703125" style="34" customWidth="1"/>
    <col min="10" max="12" width="11.42578125" style="34"/>
    <col min="13" max="13" width="12.5703125" style="34" bestFit="1" customWidth="1"/>
    <col min="14" max="16384" width="11.42578125" style="34"/>
  </cols>
  <sheetData>
    <row r="1" spans="2:8" ht="18" x14ac:dyDescent="0.25">
      <c r="B1" s="7" t="s">
        <v>79</v>
      </c>
    </row>
    <row r="2" spans="2:8" x14ac:dyDescent="0.2">
      <c r="B2" s="9" t="s">
        <v>5</v>
      </c>
    </row>
    <row r="3" spans="2:8" x14ac:dyDescent="0.2">
      <c r="B3" s="9" t="s">
        <v>6</v>
      </c>
    </row>
    <row r="4" spans="2:8" x14ac:dyDescent="0.2">
      <c r="B4" s="9" t="s">
        <v>99</v>
      </c>
    </row>
    <row r="5" spans="2:8" x14ac:dyDescent="0.2">
      <c r="B5" s="84" t="s">
        <v>80</v>
      </c>
    </row>
    <row r="6" spans="2:8" ht="13.5" thickBot="1" x14ac:dyDescent="0.25">
      <c r="B6" s="35"/>
    </row>
    <row r="7" spans="2:8" ht="24" customHeight="1" x14ac:dyDescent="0.3">
      <c r="B7" s="86" t="s">
        <v>95</v>
      </c>
      <c r="C7" s="41"/>
      <c r="D7" s="41"/>
      <c r="E7" s="41"/>
      <c r="F7" s="41"/>
      <c r="G7" s="87" t="s">
        <v>188</v>
      </c>
      <c r="H7" s="142"/>
    </row>
    <row r="8" spans="2:8" ht="13.5" thickBot="1" x14ac:dyDescent="0.25">
      <c r="B8" s="89" t="s">
        <v>74</v>
      </c>
      <c r="C8" s="46"/>
      <c r="D8" s="46"/>
      <c r="E8" s="46"/>
      <c r="F8" s="16"/>
      <c r="H8" s="53"/>
    </row>
    <row r="9" spans="2:8" ht="13.5" hidden="1" thickBot="1" x14ac:dyDescent="0.25">
      <c r="B9" s="1" t="s">
        <v>90</v>
      </c>
      <c r="C9" s="90"/>
      <c r="D9" s="90"/>
      <c r="E9" s="90"/>
      <c r="F9" s="90"/>
      <c r="G9" s="91"/>
      <c r="H9" s="92"/>
    </row>
    <row r="10" spans="2:8" s="36" customFormat="1" ht="58.5" customHeight="1" x14ac:dyDescent="0.2">
      <c r="B10" s="37"/>
      <c r="C10" s="83" t="s">
        <v>183</v>
      </c>
      <c r="D10" s="83" t="s">
        <v>184</v>
      </c>
      <c r="E10" s="83" t="s">
        <v>183</v>
      </c>
      <c r="F10" s="83" t="s">
        <v>185</v>
      </c>
      <c r="G10" s="75" t="s">
        <v>186</v>
      </c>
      <c r="H10" s="75"/>
    </row>
    <row r="11" spans="2:8" x14ac:dyDescent="0.2">
      <c r="B11" s="19" t="s">
        <v>33</v>
      </c>
      <c r="C11" s="39">
        <v>3.95</v>
      </c>
      <c r="D11" s="39">
        <v>3.85</v>
      </c>
      <c r="E11" s="40">
        <v>3.75</v>
      </c>
      <c r="F11" s="39">
        <v>3.75</v>
      </c>
      <c r="G11" s="247">
        <v>3.5</v>
      </c>
      <c r="H11" s="40"/>
    </row>
    <row r="12" spans="2:8" ht="13.5" thickBot="1" x14ac:dyDescent="0.25">
      <c r="B12" s="20"/>
      <c r="C12" s="248" t="s">
        <v>187</v>
      </c>
      <c r="D12" s="74"/>
      <c r="E12" s="74"/>
      <c r="F12" s="76"/>
      <c r="G12" s="77"/>
      <c r="H12" s="77"/>
    </row>
    <row r="13" spans="2:8" ht="13.5" thickBot="1" x14ac:dyDescent="0.25"/>
    <row r="14" spans="2:8" x14ac:dyDescent="0.2">
      <c r="B14" s="21" t="s">
        <v>27</v>
      </c>
      <c r="C14" s="41"/>
      <c r="D14" s="42"/>
    </row>
    <row r="15" spans="2:8" ht="13.5" thickBot="1" x14ac:dyDescent="0.25">
      <c r="B15" s="43"/>
      <c r="C15" s="44" t="s">
        <v>28</v>
      </c>
      <c r="D15" s="45">
        <v>-5</v>
      </c>
    </row>
    <row r="16" spans="2:8" ht="13.5" thickBot="1" x14ac:dyDescent="0.25">
      <c r="D16" s="85"/>
    </row>
    <row r="17" spans="2:13" ht="20.25" x14ac:dyDescent="0.3">
      <c r="B17" s="86" t="s">
        <v>78</v>
      </c>
      <c r="C17" s="41"/>
      <c r="D17" s="41"/>
      <c r="E17" s="41"/>
      <c r="F17" s="41"/>
      <c r="G17" s="87" t="s">
        <v>189</v>
      </c>
      <c r="H17" s="88"/>
    </row>
    <row r="18" spans="2:13" x14ac:dyDescent="0.2">
      <c r="B18" s="89" t="s">
        <v>74</v>
      </c>
      <c r="C18" s="46"/>
      <c r="D18" s="46"/>
      <c r="E18" s="46"/>
      <c r="F18" s="16"/>
      <c r="H18" s="53"/>
    </row>
    <row r="19" spans="2:13" ht="13.5" thickBot="1" x14ac:dyDescent="0.25">
      <c r="B19" s="1" t="s">
        <v>103</v>
      </c>
      <c r="C19" s="90"/>
      <c r="D19" s="90"/>
      <c r="E19" s="90"/>
      <c r="F19" s="90"/>
      <c r="G19" s="91"/>
      <c r="H19" s="92"/>
    </row>
    <row r="20" spans="2:13" ht="28.5" customHeight="1" thickBot="1" x14ac:dyDescent="0.35">
      <c r="B20" s="23"/>
      <c r="C20" s="22" t="s">
        <v>1</v>
      </c>
      <c r="D20" s="22" t="s">
        <v>7</v>
      </c>
      <c r="E20" s="22" t="s">
        <v>24</v>
      </c>
      <c r="F20" s="22" t="s">
        <v>0</v>
      </c>
      <c r="G20" s="22" t="s">
        <v>104</v>
      </c>
      <c r="H20" s="22" t="s">
        <v>104</v>
      </c>
    </row>
    <row r="21" spans="2:13" ht="26.25" thickBot="1" x14ac:dyDescent="0.25">
      <c r="B21" s="14" t="s">
        <v>25</v>
      </c>
      <c r="C21" s="15" t="s">
        <v>84</v>
      </c>
      <c r="D21" s="15" t="s">
        <v>84</v>
      </c>
      <c r="E21" s="15" t="s">
        <v>107</v>
      </c>
      <c r="F21" s="13" t="s">
        <v>83</v>
      </c>
      <c r="G21" s="31" t="s">
        <v>108</v>
      </c>
      <c r="H21" s="31" t="s">
        <v>83</v>
      </c>
      <c r="L21" s="149"/>
    </row>
    <row r="22" spans="2:13" ht="39.75" customHeight="1" thickBot="1" x14ac:dyDescent="0.25">
      <c r="B22" s="93" t="s">
        <v>49</v>
      </c>
      <c r="C22" s="94" t="s">
        <v>182</v>
      </c>
      <c r="D22" s="94" t="s">
        <v>182</v>
      </c>
      <c r="E22" s="94" t="s">
        <v>182</v>
      </c>
      <c r="F22" s="97" t="s">
        <v>102</v>
      </c>
      <c r="G22" s="96" t="s">
        <v>109</v>
      </c>
      <c r="H22" s="96" t="s">
        <v>105</v>
      </c>
    </row>
    <row r="23" spans="2:13" ht="7.5" customHeight="1" thickBot="1" x14ac:dyDescent="0.25">
      <c r="B23" s="110"/>
      <c r="C23" s="95"/>
      <c r="D23" s="98"/>
      <c r="E23" s="111"/>
      <c r="F23" s="98"/>
      <c r="G23" s="98"/>
      <c r="H23" s="96"/>
    </row>
    <row r="24" spans="2:13" ht="13.5" thickBot="1" x14ac:dyDescent="0.25">
      <c r="B24" s="18">
        <v>-0.1</v>
      </c>
      <c r="C24" s="261" t="s">
        <v>10</v>
      </c>
      <c r="D24" s="262"/>
      <c r="E24" s="262"/>
      <c r="F24" s="263"/>
      <c r="G24" s="263"/>
      <c r="H24" s="264"/>
    </row>
    <row r="25" spans="2:13" x14ac:dyDescent="0.2">
      <c r="B25" s="24" t="s">
        <v>2</v>
      </c>
      <c r="C25" s="99">
        <f t="shared" ref="C25:G28" si="0">+C30+$B$24</f>
        <v>7.1000000000000005</v>
      </c>
      <c r="D25" s="47">
        <f>+D30+$B$24</f>
        <v>7.25</v>
      </c>
      <c r="E25" s="120">
        <f t="shared" si="0"/>
        <v>7.25</v>
      </c>
      <c r="F25" s="100">
        <f t="shared" si="0"/>
        <v>6.25</v>
      </c>
      <c r="G25" s="50">
        <f t="shared" si="0"/>
        <v>6.75</v>
      </c>
      <c r="H25" s="50">
        <f>+F25+$H$91</f>
        <v>6.55</v>
      </c>
      <c r="L25" s="150"/>
    </row>
    <row r="26" spans="2:13" x14ac:dyDescent="0.2">
      <c r="B26" s="24" t="s">
        <v>3</v>
      </c>
      <c r="C26" s="99">
        <f t="shared" si="0"/>
        <v>7</v>
      </c>
      <c r="D26" s="73">
        <f t="shared" si="0"/>
        <v>7.15</v>
      </c>
      <c r="E26" s="121">
        <f t="shared" si="0"/>
        <v>7.15</v>
      </c>
      <c r="F26" s="100">
        <f t="shared" si="0"/>
        <v>6.2</v>
      </c>
      <c r="G26" s="50">
        <f t="shared" si="0"/>
        <v>6.7</v>
      </c>
      <c r="H26" s="50">
        <f>+F26+$H$91</f>
        <v>6.5</v>
      </c>
    </row>
    <row r="27" spans="2:13" x14ac:dyDescent="0.2">
      <c r="B27" s="25" t="s">
        <v>4</v>
      </c>
      <c r="C27" s="99">
        <f t="shared" si="0"/>
        <v>6.8500000000000005</v>
      </c>
      <c r="D27" s="73">
        <f t="shared" si="0"/>
        <v>6.9</v>
      </c>
      <c r="E27" s="121">
        <f t="shared" si="0"/>
        <v>6.9</v>
      </c>
      <c r="F27" s="101">
        <f t="shared" si="0"/>
        <v>6</v>
      </c>
      <c r="G27" s="50">
        <f t="shared" si="0"/>
        <v>6.5</v>
      </c>
      <c r="H27" s="50">
        <f>+F27+$H$91</f>
        <v>6.3</v>
      </c>
    </row>
    <row r="28" spans="2:13" ht="13.5" thickBot="1" x14ac:dyDescent="0.25">
      <c r="B28" s="29" t="s">
        <v>15</v>
      </c>
      <c r="C28" s="99">
        <f>+F28</f>
        <v>5.4</v>
      </c>
      <c r="D28" s="73">
        <f>+F28</f>
        <v>5.4</v>
      </c>
      <c r="E28" s="121">
        <f>+F28</f>
        <v>5.4</v>
      </c>
      <c r="F28" s="101">
        <f t="shared" si="0"/>
        <v>5.4</v>
      </c>
      <c r="G28" s="50">
        <f>+F28</f>
        <v>5.4</v>
      </c>
      <c r="H28" s="50">
        <f>+G28</f>
        <v>5.4</v>
      </c>
    </row>
    <row r="29" spans="2:13" ht="13.5" thickBot="1" x14ac:dyDescent="0.25">
      <c r="B29" s="26">
        <v>0</v>
      </c>
      <c r="C29" s="261" t="s">
        <v>44</v>
      </c>
      <c r="D29" s="265"/>
      <c r="E29" s="265"/>
      <c r="F29" s="263"/>
      <c r="G29" s="263"/>
      <c r="H29" s="264"/>
      <c r="M29" s="141"/>
    </row>
    <row r="30" spans="2:13" x14ac:dyDescent="0.2">
      <c r="B30" s="24" t="s">
        <v>2</v>
      </c>
      <c r="C30" s="143">
        <v>7.2</v>
      </c>
      <c r="D30" s="143">
        <v>7.35</v>
      </c>
      <c r="E30" s="146">
        <v>7.35</v>
      </c>
      <c r="F30" s="107">
        <v>6.35</v>
      </c>
      <c r="G30" s="50">
        <f>+F30+$G$91</f>
        <v>6.85</v>
      </c>
      <c r="H30" s="50">
        <f>+F30+$H$91</f>
        <v>6.6499999999999995</v>
      </c>
    </row>
    <row r="31" spans="2:13" x14ac:dyDescent="0.2">
      <c r="B31" s="24" t="s">
        <v>3</v>
      </c>
      <c r="C31" s="143">
        <v>7.1</v>
      </c>
      <c r="D31" s="143">
        <v>7.25</v>
      </c>
      <c r="E31" s="146">
        <v>7.25</v>
      </c>
      <c r="F31" s="148">
        <v>6.3</v>
      </c>
      <c r="G31" s="50">
        <f>+F31+$G$91</f>
        <v>6.8</v>
      </c>
      <c r="H31" s="50">
        <f>+F31+$H$91</f>
        <v>6.6</v>
      </c>
    </row>
    <row r="32" spans="2:13" x14ac:dyDescent="0.2">
      <c r="B32" s="25" t="s">
        <v>4</v>
      </c>
      <c r="C32" s="143">
        <v>6.95</v>
      </c>
      <c r="D32" s="143">
        <v>7</v>
      </c>
      <c r="E32" s="146">
        <v>7</v>
      </c>
      <c r="F32" s="50">
        <v>6.1</v>
      </c>
      <c r="G32" s="50">
        <f>+F32+$G$91</f>
        <v>6.6</v>
      </c>
      <c r="H32" s="50">
        <f>+F32+$H$91</f>
        <v>6.3999999999999995</v>
      </c>
    </row>
    <row r="33" spans="2:8" ht="13.5" thickBot="1" x14ac:dyDescent="0.25">
      <c r="B33" s="29" t="s">
        <v>15</v>
      </c>
      <c r="C33" s="144">
        <v>5.6</v>
      </c>
      <c r="D33" s="144">
        <v>5.6</v>
      </c>
      <c r="E33" s="147">
        <v>5.5</v>
      </c>
      <c r="F33" s="51">
        <v>5.5</v>
      </c>
      <c r="G33" s="50">
        <v>5.6</v>
      </c>
      <c r="H33" s="50">
        <v>5.6</v>
      </c>
    </row>
    <row r="34" spans="2:8" ht="13.5" thickBot="1" x14ac:dyDescent="0.25">
      <c r="B34" s="27">
        <v>0.05</v>
      </c>
      <c r="C34" s="261" t="s">
        <v>12</v>
      </c>
      <c r="D34" s="263"/>
      <c r="E34" s="263"/>
      <c r="F34" s="263"/>
      <c r="G34" s="263"/>
      <c r="H34" s="264"/>
    </row>
    <row r="35" spans="2:8" x14ac:dyDescent="0.2">
      <c r="B35" s="24" t="s">
        <v>2</v>
      </c>
      <c r="C35" s="50">
        <f t="shared" ref="C35:E37" si="1">+$B$34+C30</f>
        <v>7.25</v>
      </c>
      <c r="D35" s="50">
        <f t="shared" si="1"/>
        <v>7.3999999999999995</v>
      </c>
      <c r="E35" s="50">
        <f t="shared" si="1"/>
        <v>7.3999999999999995</v>
      </c>
      <c r="F35" s="49">
        <f t="shared" ref="F35:G37" si="2">+F30+$B$34</f>
        <v>6.3999999999999995</v>
      </c>
      <c r="G35" s="50">
        <f t="shared" si="2"/>
        <v>6.8999999999999995</v>
      </c>
      <c r="H35" s="50">
        <f>+F35+$H$91</f>
        <v>6.6999999999999993</v>
      </c>
    </row>
    <row r="36" spans="2:8" x14ac:dyDescent="0.2">
      <c r="B36" s="24" t="s">
        <v>3</v>
      </c>
      <c r="C36" s="50">
        <f t="shared" si="1"/>
        <v>7.1499999999999995</v>
      </c>
      <c r="D36" s="50">
        <f t="shared" si="1"/>
        <v>7.3</v>
      </c>
      <c r="E36" s="50">
        <f t="shared" si="1"/>
        <v>7.3</v>
      </c>
      <c r="F36" s="49">
        <f t="shared" si="2"/>
        <v>6.35</v>
      </c>
      <c r="G36" s="50">
        <f t="shared" si="2"/>
        <v>6.85</v>
      </c>
      <c r="H36" s="50">
        <f>+F36+$H$91</f>
        <v>6.6499999999999995</v>
      </c>
    </row>
    <row r="37" spans="2:8" x14ac:dyDescent="0.2">
      <c r="B37" s="25" t="s">
        <v>4</v>
      </c>
      <c r="C37" s="50">
        <f t="shared" si="1"/>
        <v>7</v>
      </c>
      <c r="D37" s="50">
        <f t="shared" si="1"/>
        <v>7.05</v>
      </c>
      <c r="E37" s="50">
        <f t="shared" si="1"/>
        <v>7.05</v>
      </c>
      <c r="F37" s="49">
        <f t="shared" si="2"/>
        <v>6.1499999999999995</v>
      </c>
      <c r="G37" s="50">
        <f t="shared" si="2"/>
        <v>6.6499999999999995</v>
      </c>
      <c r="H37" s="50">
        <f>+F37+$H$91</f>
        <v>6.4499999999999993</v>
      </c>
    </row>
    <row r="38" spans="2:8" ht="13.5" thickBot="1" x14ac:dyDescent="0.25">
      <c r="B38" s="25" t="s">
        <v>15</v>
      </c>
      <c r="C38" s="50">
        <f t="shared" ref="C38:H38" si="3">+C33</f>
        <v>5.6</v>
      </c>
      <c r="D38" s="50">
        <f t="shared" si="3"/>
        <v>5.6</v>
      </c>
      <c r="E38" s="50">
        <f t="shared" si="3"/>
        <v>5.5</v>
      </c>
      <c r="F38" s="50">
        <f t="shared" si="3"/>
        <v>5.5</v>
      </c>
      <c r="G38" s="50">
        <f t="shared" si="3"/>
        <v>5.6</v>
      </c>
      <c r="H38" s="50">
        <f t="shared" si="3"/>
        <v>5.6</v>
      </c>
    </row>
    <row r="39" spans="2:8" x14ac:dyDescent="0.2">
      <c r="B39" s="28">
        <v>-0.15</v>
      </c>
      <c r="C39" s="258" t="s">
        <v>9</v>
      </c>
      <c r="D39" s="259"/>
      <c r="E39" s="259"/>
      <c r="F39" s="259"/>
      <c r="G39" s="259"/>
      <c r="H39" s="260"/>
    </row>
    <row r="40" spans="2:8" x14ac:dyDescent="0.2">
      <c r="B40" s="24" t="s">
        <v>2</v>
      </c>
      <c r="C40" s="48">
        <f>+C35+$B$39</f>
        <v>7.1</v>
      </c>
      <c r="D40" s="48">
        <f>+D35+$B$39</f>
        <v>7.2499999999999991</v>
      </c>
      <c r="E40" s="48">
        <f>+E35+$B$39</f>
        <v>7.2499999999999991</v>
      </c>
      <c r="F40" s="49">
        <f>+F35+$B$39</f>
        <v>6.2499999999999991</v>
      </c>
      <c r="G40" s="50">
        <f>+F40+$G$91</f>
        <v>6.7499999999999991</v>
      </c>
      <c r="H40" s="50">
        <f>+F40+$H$91</f>
        <v>6.5499999999999989</v>
      </c>
    </row>
    <row r="41" spans="2:8" x14ac:dyDescent="0.2">
      <c r="B41" s="24" t="s">
        <v>3</v>
      </c>
      <c r="C41" s="48">
        <f t="shared" ref="C41:E42" si="4">+C36+$B$39</f>
        <v>6.9999999999999991</v>
      </c>
      <c r="D41" s="48">
        <f t="shared" si="4"/>
        <v>7.1499999999999995</v>
      </c>
      <c r="E41" s="48">
        <f t="shared" si="4"/>
        <v>7.1499999999999995</v>
      </c>
      <c r="F41" s="49">
        <f>+F36+$B$39</f>
        <v>6.1999999999999993</v>
      </c>
      <c r="G41" s="50">
        <f>+F41+$G$91</f>
        <v>6.6999999999999993</v>
      </c>
      <c r="H41" s="50">
        <f>+F41+$H$91</f>
        <v>6.4999999999999991</v>
      </c>
    </row>
    <row r="42" spans="2:8" x14ac:dyDescent="0.2">
      <c r="B42" s="25" t="s">
        <v>4</v>
      </c>
      <c r="C42" s="48">
        <f t="shared" si="4"/>
        <v>6.85</v>
      </c>
      <c r="D42" s="48">
        <f t="shared" si="4"/>
        <v>6.8999999999999995</v>
      </c>
      <c r="E42" s="48">
        <f t="shared" si="4"/>
        <v>6.8999999999999995</v>
      </c>
      <c r="F42" s="49">
        <f>+F37+$B$39</f>
        <v>5.9999999999999991</v>
      </c>
      <c r="G42" s="50">
        <f>+F42+$G$91</f>
        <v>6.4999999999999991</v>
      </c>
      <c r="H42" s="50">
        <f>+F42+$H$91</f>
        <v>6.2999999999999989</v>
      </c>
    </row>
    <row r="43" spans="2:8" ht="13.5" thickBot="1" x14ac:dyDescent="0.25">
      <c r="B43" s="29" t="s">
        <v>15</v>
      </c>
      <c r="C43" s="48">
        <f t="shared" ref="C43:H43" si="5">+C28</f>
        <v>5.4</v>
      </c>
      <c r="D43" s="48">
        <f t="shared" si="5"/>
        <v>5.4</v>
      </c>
      <c r="E43" s="48">
        <f t="shared" si="5"/>
        <v>5.4</v>
      </c>
      <c r="F43" s="48">
        <f t="shared" si="5"/>
        <v>5.4</v>
      </c>
      <c r="G43" s="48">
        <f t="shared" si="5"/>
        <v>5.4</v>
      </c>
      <c r="H43" s="48">
        <f t="shared" si="5"/>
        <v>5.4</v>
      </c>
    </row>
    <row r="44" spans="2:8" x14ac:dyDescent="0.2">
      <c r="B44" s="10"/>
      <c r="C44" s="258" t="s">
        <v>45</v>
      </c>
      <c r="D44" s="259"/>
      <c r="E44" s="259"/>
      <c r="F44" s="259"/>
      <c r="G44" s="259"/>
      <c r="H44" s="260"/>
    </row>
    <row r="45" spans="2:8" ht="13.5" thickBot="1" x14ac:dyDescent="0.25">
      <c r="B45" s="3" t="s">
        <v>11</v>
      </c>
      <c r="C45" s="255" t="s">
        <v>106</v>
      </c>
      <c r="D45" s="256"/>
      <c r="E45" s="256"/>
      <c r="F45" s="256"/>
      <c r="G45" s="256"/>
      <c r="H45" s="257"/>
    </row>
    <row r="46" spans="2:8" ht="21" thickBot="1" x14ac:dyDescent="0.35">
      <c r="B46" s="8"/>
      <c r="C46" s="52"/>
      <c r="D46" s="52"/>
      <c r="E46" s="52"/>
      <c r="F46" s="52"/>
    </row>
    <row r="47" spans="2:8" ht="12.75" customHeight="1" x14ac:dyDescent="0.2">
      <c r="B47" s="249" t="s">
        <v>22</v>
      </c>
      <c r="C47" s="250"/>
      <c r="D47" s="251"/>
      <c r="E47" s="81" t="s">
        <v>43</v>
      </c>
      <c r="F47" s="72" t="s">
        <v>43</v>
      </c>
    </row>
    <row r="48" spans="2:8" x14ac:dyDescent="0.2">
      <c r="B48" s="252"/>
      <c r="C48" s="253"/>
      <c r="D48" s="254"/>
      <c r="E48" s="82"/>
      <c r="F48" s="103"/>
      <c r="G48" s="103"/>
    </row>
    <row r="49" spans="2:8" x14ac:dyDescent="0.2">
      <c r="B49" s="17" t="s">
        <v>87</v>
      </c>
      <c r="C49" s="54"/>
      <c r="D49" s="79" t="s">
        <v>56</v>
      </c>
      <c r="E49" s="55"/>
    </row>
    <row r="50" spans="2:8" x14ac:dyDescent="0.2">
      <c r="B50" s="17" t="s">
        <v>89</v>
      </c>
      <c r="C50" s="54"/>
      <c r="D50" s="136">
        <v>-0.2</v>
      </c>
      <c r="E50" s="56"/>
    </row>
    <row r="51" spans="2:8" x14ac:dyDescent="0.2">
      <c r="B51" s="17" t="s">
        <v>98</v>
      </c>
      <c r="C51" s="54"/>
      <c r="D51" s="78"/>
      <c r="E51" s="56"/>
    </row>
    <row r="52" spans="2:8" x14ac:dyDescent="0.2">
      <c r="B52" s="17"/>
      <c r="C52" s="54"/>
      <c r="D52" s="78"/>
      <c r="E52" s="56"/>
    </row>
    <row r="53" spans="2:8" x14ac:dyDescent="0.2">
      <c r="B53" s="17" t="s">
        <v>0</v>
      </c>
      <c r="C53" s="54"/>
      <c r="D53" s="79" t="s">
        <v>56</v>
      </c>
      <c r="E53" s="55"/>
    </row>
    <row r="54" spans="2:8" x14ac:dyDescent="0.2">
      <c r="B54" s="17" t="s">
        <v>181</v>
      </c>
      <c r="C54" s="54"/>
      <c r="D54" s="136">
        <v>-0.25</v>
      </c>
      <c r="E54" s="56"/>
    </row>
    <row r="55" spans="2:8" x14ac:dyDescent="0.2">
      <c r="B55" s="17" t="s">
        <v>96</v>
      </c>
      <c r="C55" s="54"/>
      <c r="D55" s="136">
        <v>-0.55000000000000004</v>
      </c>
      <c r="E55" s="56"/>
    </row>
    <row r="56" spans="2:8" x14ac:dyDescent="0.2">
      <c r="B56" s="17" t="s">
        <v>97</v>
      </c>
      <c r="C56" s="54"/>
      <c r="D56" s="136">
        <v>-0.75</v>
      </c>
      <c r="E56" s="56"/>
    </row>
    <row r="57" spans="2:8" ht="16.5" thickBot="1" x14ac:dyDescent="0.25">
      <c r="B57" s="11"/>
      <c r="C57" s="57"/>
      <c r="D57" s="145"/>
      <c r="E57" s="138"/>
      <c r="F57" s="104"/>
    </row>
    <row r="58" spans="2:8" ht="13.5" thickBot="1" x14ac:dyDescent="0.25">
      <c r="B58" s="9"/>
      <c r="C58" s="58"/>
      <c r="D58" s="59"/>
      <c r="H58" s="105"/>
    </row>
    <row r="59" spans="2:8" x14ac:dyDescent="0.2">
      <c r="B59" s="21" t="s">
        <v>57</v>
      </c>
      <c r="C59" s="41"/>
      <c r="D59" s="42"/>
      <c r="H59" s="105"/>
    </row>
    <row r="60" spans="2:8" ht="13.5" thickBot="1" x14ac:dyDescent="0.25">
      <c r="B60" s="43"/>
      <c r="C60" s="44" t="s">
        <v>29</v>
      </c>
      <c r="D60" s="45">
        <f>+C85</f>
        <v>15</v>
      </c>
      <c r="H60" s="105"/>
    </row>
    <row r="61" spans="2:8" x14ac:dyDescent="0.2">
      <c r="B61" s="34" t="s">
        <v>112</v>
      </c>
      <c r="D61" s="85"/>
      <c r="H61" s="105"/>
    </row>
    <row r="62" spans="2:8" x14ac:dyDescent="0.2">
      <c r="B62" s="34" t="s">
        <v>111</v>
      </c>
      <c r="C62" s="85"/>
      <c r="G62" s="105"/>
    </row>
    <row r="63" spans="2:8" x14ac:dyDescent="0.2">
      <c r="D63" s="85"/>
      <c r="H63" s="105"/>
    </row>
    <row r="64" spans="2:8" x14ac:dyDescent="0.2">
      <c r="B64" s="34" t="s">
        <v>41</v>
      </c>
      <c r="H64" s="105"/>
    </row>
    <row r="65" spans="2:9" ht="13.5" thickBot="1" x14ac:dyDescent="0.25">
      <c r="B65" s="84" t="s">
        <v>94</v>
      </c>
      <c r="C65" s="35"/>
      <c r="D65" s="35"/>
      <c r="E65" s="35"/>
      <c r="H65" s="105"/>
    </row>
    <row r="66" spans="2:9" ht="31.5" x14ac:dyDescent="0.3">
      <c r="B66" s="4"/>
      <c r="C66" s="5" t="s">
        <v>1</v>
      </c>
      <c r="D66" s="32" t="s">
        <v>7</v>
      </c>
      <c r="E66" s="33" t="s">
        <v>24</v>
      </c>
      <c r="F66" s="5" t="s">
        <v>0</v>
      </c>
      <c r="G66" s="6" t="s">
        <v>8</v>
      </c>
      <c r="H66" s="106" t="s">
        <v>20</v>
      </c>
      <c r="I66" s="103"/>
    </row>
    <row r="67" spans="2:9" x14ac:dyDescent="0.2">
      <c r="B67" s="2" t="s">
        <v>37</v>
      </c>
      <c r="C67" s="60"/>
      <c r="D67" s="61"/>
      <c r="E67" s="62"/>
      <c r="F67" s="129">
        <v>3.84</v>
      </c>
      <c r="G67" s="63"/>
      <c r="H67" s="134">
        <v>1</v>
      </c>
      <c r="I67" s="103"/>
    </row>
    <row r="68" spans="2:9" x14ac:dyDescent="0.2">
      <c r="B68" s="2" t="s">
        <v>18</v>
      </c>
      <c r="C68" s="64"/>
      <c r="D68" s="61"/>
      <c r="E68" s="65"/>
      <c r="F68" s="130">
        <v>3.94</v>
      </c>
      <c r="G68" s="63"/>
      <c r="H68" s="134">
        <v>1</v>
      </c>
      <c r="I68" s="103"/>
    </row>
    <row r="69" spans="2:9" x14ac:dyDescent="0.2">
      <c r="B69" s="2" t="s">
        <v>36</v>
      </c>
      <c r="C69" s="64"/>
      <c r="D69" s="61"/>
      <c r="E69" s="65"/>
      <c r="F69" s="130">
        <v>3.75</v>
      </c>
      <c r="G69" s="63"/>
      <c r="H69" s="134">
        <v>1</v>
      </c>
      <c r="I69" s="103"/>
    </row>
    <row r="70" spans="2:9" x14ac:dyDescent="0.2">
      <c r="B70" s="2" t="s">
        <v>19</v>
      </c>
      <c r="C70" s="64"/>
      <c r="D70" s="61"/>
      <c r="E70" s="65"/>
      <c r="F70" s="130">
        <v>3.85</v>
      </c>
      <c r="G70" s="63"/>
      <c r="H70" s="134">
        <v>1</v>
      </c>
      <c r="I70" s="103"/>
    </row>
    <row r="71" spans="2:9" x14ac:dyDescent="0.2">
      <c r="B71" s="2" t="s">
        <v>39</v>
      </c>
      <c r="C71" s="64"/>
      <c r="D71" s="61"/>
      <c r="E71" s="66"/>
      <c r="F71" s="130">
        <v>3.75</v>
      </c>
      <c r="G71" s="63"/>
      <c r="H71" s="134">
        <v>0.9</v>
      </c>
      <c r="I71" s="103"/>
    </row>
    <row r="72" spans="2:9" x14ac:dyDescent="0.2">
      <c r="B72" s="2" t="s">
        <v>17</v>
      </c>
      <c r="C72" s="64"/>
      <c r="D72" s="61"/>
      <c r="E72" s="65"/>
      <c r="F72" s="130">
        <v>3.52</v>
      </c>
      <c r="G72" s="63"/>
      <c r="H72" s="134">
        <v>1</v>
      </c>
    </row>
    <row r="73" spans="2:9" x14ac:dyDescent="0.2">
      <c r="B73" s="2" t="s">
        <v>34</v>
      </c>
      <c r="C73" s="64"/>
      <c r="D73" s="61"/>
      <c r="E73" s="65"/>
      <c r="F73" s="130">
        <v>3.54</v>
      </c>
      <c r="G73" s="63"/>
      <c r="H73" s="134">
        <v>1</v>
      </c>
    </row>
    <row r="74" spans="2:9" x14ac:dyDescent="0.2">
      <c r="B74" s="2" t="s">
        <v>40</v>
      </c>
      <c r="C74" s="64"/>
      <c r="D74" s="61"/>
      <c r="E74" s="66"/>
      <c r="F74" s="130">
        <v>3.59</v>
      </c>
      <c r="G74" s="63"/>
      <c r="H74" s="134">
        <v>0.85</v>
      </c>
    </row>
    <row r="75" spans="2:9" x14ac:dyDescent="0.2">
      <c r="B75" s="2" t="s">
        <v>35</v>
      </c>
      <c r="C75" s="64"/>
      <c r="D75" s="61"/>
      <c r="E75" s="65"/>
      <c r="F75" s="130">
        <v>2.92</v>
      </c>
      <c r="G75" s="63"/>
      <c r="H75" s="134">
        <v>0.85</v>
      </c>
    </row>
    <row r="76" spans="2:9" x14ac:dyDescent="0.2">
      <c r="B76" s="2" t="s">
        <v>16</v>
      </c>
      <c r="C76" s="64"/>
      <c r="D76" s="61"/>
      <c r="E76" s="65"/>
      <c r="F76" s="130">
        <v>3.1</v>
      </c>
      <c r="G76" s="63"/>
      <c r="H76" s="134">
        <v>0.9</v>
      </c>
    </row>
    <row r="77" spans="2:9" ht="13.5" thickBot="1" x14ac:dyDescent="0.25">
      <c r="B77" s="1" t="s">
        <v>38</v>
      </c>
      <c r="C77" s="67"/>
      <c r="D77" s="68"/>
      <c r="E77" s="69"/>
      <c r="F77" s="131">
        <v>3.21</v>
      </c>
      <c r="G77" s="70"/>
      <c r="H77" s="135">
        <v>0.9</v>
      </c>
    </row>
    <row r="80" spans="2:9" x14ac:dyDescent="0.2">
      <c r="B80" s="112" t="s">
        <v>61</v>
      </c>
      <c r="C80" s="54"/>
      <c r="D80" s="54"/>
      <c r="E80" s="54"/>
    </row>
    <row r="81" spans="2:13" ht="16.5" customHeight="1" x14ac:dyDescent="0.2">
      <c r="B81" s="112" t="s">
        <v>62</v>
      </c>
      <c r="C81" s="132">
        <v>160</v>
      </c>
      <c r="D81" s="54"/>
      <c r="E81" s="54"/>
    </row>
    <row r="82" spans="2:13" x14ac:dyDescent="0.2">
      <c r="B82" s="112" t="s">
        <v>63</v>
      </c>
      <c r="C82" s="132">
        <v>0.25</v>
      </c>
      <c r="D82" s="54"/>
      <c r="E82" s="54"/>
    </row>
    <row r="83" spans="2:13" x14ac:dyDescent="0.2">
      <c r="B83" s="54" t="s">
        <v>100</v>
      </c>
      <c r="C83" s="113">
        <v>30</v>
      </c>
      <c r="D83" s="54"/>
      <c r="E83" s="54"/>
    </row>
    <row r="84" spans="2:13" x14ac:dyDescent="0.2">
      <c r="B84" s="54"/>
      <c r="C84" s="54" t="s">
        <v>67</v>
      </c>
      <c r="D84" s="54" t="s">
        <v>68</v>
      </c>
      <c r="E84" s="54"/>
    </row>
    <row r="85" spans="2:13" x14ac:dyDescent="0.2">
      <c r="B85" s="112" t="s">
        <v>66</v>
      </c>
      <c r="C85" s="113">
        <v>15</v>
      </c>
      <c r="D85" s="133">
        <v>30</v>
      </c>
      <c r="E85" s="113">
        <f>+D85+C85</f>
        <v>45</v>
      </c>
    </row>
    <row r="86" spans="2:13" ht="13.5" thickBot="1" x14ac:dyDescent="0.25"/>
    <row r="87" spans="2:13" ht="20.25" x14ac:dyDescent="0.3">
      <c r="B87" s="86" t="s">
        <v>72</v>
      </c>
      <c r="C87" s="41"/>
      <c r="D87" s="41"/>
      <c r="E87" s="41"/>
      <c r="F87" s="41"/>
      <c r="G87" s="87"/>
      <c r="H87" s="88"/>
    </row>
    <row r="88" spans="2:13" ht="13.5" thickBot="1" x14ac:dyDescent="0.25">
      <c r="B88" s="89"/>
      <c r="C88" s="46"/>
      <c r="D88" s="46"/>
      <c r="E88" s="46"/>
      <c r="F88" s="16"/>
      <c r="H88" s="53"/>
    </row>
    <row r="89" spans="2:13" ht="59.25" customHeight="1" thickBot="1" x14ac:dyDescent="0.35">
      <c r="B89" s="23"/>
      <c r="C89" s="22" t="s">
        <v>1</v>
      </c>
      <c r="D89" s="22" t="s">
        <v>7</v>
      </c>
      <c r="E89" s="22" t="s">
        <v>24</v>
      </c>
      <c r="F89" s="22" t="s">
        <v>0</v>
      </c>
      <c r="G89" s="22" t="s">
        <v>110</v>
      </c>
      <c r="H89" s="22" t="s">
        <v>32</v>
      </c>
    </row>
    <row r="90" spans="2:13" ht="13.5" thickBot="1" x14ac:dyDescent="0.25">
      <c r="B90" s="1"/>
      <c r="C90" s="90"/>
      <c r="D90" s="90"/>
      <c r="E90" s="90"/>
      <c r="F90" s="90"/>
      <c r="G90" s="91"/>
      <c r="H90" s="92"/>
    </row>
    <row r="91" spans="2:13" ht="58.5" customHeight="1" thickBot="1" x14ac:dyDescent="0.25">
      <c r="B91" s="122" t="s">
        <v>70</v>
      </c>
      <c r="C91" s="123"/>
      <c r="D91" s="124"/>
      <c r="E91" s="124"/>
      <c r="F91" s="123"/>
      <c r="G91" s="124">
        <v>0.5</v>
      </c>
      <c r="H91" s="30">
        <v>0.3</v>
      </c>
    </row>
    <row r="92" spans="2:13" ht="58.5" customHeight="1" thickBot="1" x14ac:dyDescent="0.25">
      <c r="B92" s="125" t="s">
        <v>64</v>
      </c>
      <c r="C92" s="126">
        <v>300</v>
      </c>
      <c r="D92" s="126">
        <v>330</v>
      </c>
      <c r="E92" s="126">
        <v>330</v>
      </c>
      <c r="F92" s="127">
        <v>290</v>
      </c>
      <c r="G92" s="127">
        <v>330</v>
      </c>
      <c r="H92" s="127">
        <v>330</v>
      </c>
    </row>
    <row r="93" spans="2:13" ht="58.5" customHeight="1" thickBot="1" x14ac:dyDescent="0.25">
      <c r="B93" s="125" t="s">
        <v>76</v>
      </c>
      <c r="C93" s="128">
        <f t="shared" ref="C93:H93" si="6">(C92)-(C92*$J$93)</f>
        <v>294</v>
      </c>
      <c r="D93" s="128">
        <f t="shared" si="6"/>
        <v>323.39999999999998</v>
      </c>
      <c r="E93" s="128">
        <f t="shared" si="6"/>
        <v>323.39999999999998</v>
      </c>
      <c r="F93" s="128">
        <f t="shared" si="6"/>
        <v>284.2</v>
      </c>
      <c r="G93" s="128">
        <f t="shared" si="6"/>
        <v>323.39999999999998</v>
      </c>
      <c r="H93" s="128">
        <f t="shared" si="6"/>
        <v>323.39999999999998</v>
      </c>
      <c r="J93" s="30">
        <v>0.02</v>
      </c>
    </row>
    <row r="94" spans="2:13" ht="58.5" customHeight="1" thickBot="1" x14ac:dyDescent="0.25">
      <c r="B94" s="108" t="s">
        <v>75</v>
      </c>
      <c r="C94" s="109">
        <f t="shared" ref="C94:H94" si="7">+C92-C93</f>
        <v>6</v>
      </c>
      <c r="D94" s="109">
        <f t="shared" si="7"/>
        <v>6.6000000000000227</v>
      </c>
      <c r="E94" s="109">
        <f t="shared" si="7"/>
        <v>6.6000000000000227</v>
      </c>
      <c r="F94" s="109">
        <f t="shared" si="7"/>
        <v>5.8000000000000114</v>
      </c>
      <c r="G94" s="109">
        <f t="shared" si="7"/>
        <v>6.6000000000000227</v>
      </c>
      <c r="H94" s="109">
        <f t="shared" si="7"/>
        <v>6.6000000000000227</v>
      </c>
      <c r="M94" s="119"/>
    </row>
    <row r="95" spans="2:13" ht="58.5" customHeight="1" thickBot="1" x14ac:dyDescent="0.25">
      <c r="B95" s="108" t="s">
        <v>65</v>
      </c>
      <c r="C95" s="139">
        <f t="shared" ref="C95:H95" si="8">+($C81/C92)+$C82</f>
        <v>0.78333333333333333</v>
      </c>
      <c r="D95" s="139">
        <f t="shared" si="8"/>
        <v>0.73484848484848486</v>
      </c>
      <c r="E95" s="139">
        <f t="shared" si="8"/>
        <v>0.73484848484848486</v>
      </c>
      <c r="F95" s="139">
        <f t="shared" si="8"/>
        <v>0.80172413793103448</v>
      </c>
      <c r="G95" s="139">
        <f t="shared" si="8"/>
        <v>0.73484848484848486</v>
      </c>
      <c r="H95" s="139">
        <f t="shared" si="8"/>
        <v>0.73484848484848486</v>
      </c>
    </row>
    <row r="96" spans="2:13" ht="58.5" customHeight="1" thickBot="1" x14ac:dyDescent="0.25">
      <c r="B96" s="108" t="s">
        <v>69</v>
      </c>
      <c r="C96" s="139">
        <f t="shared" ref="C96:H96" si="9">+$D85/C92</f>
        <v>0.1</v>
      </c>
      <c r="D96" s="139">
        <f t="shared" si="9"/>
        <v>9.0909090909090912E-2</v>
      </c>
      <c r="E96" s="139">
        <f t="shared" si="9"/>
        <v>9.0909090909090912E-2</v>
      </c>
      <c r="F96" s="139">
        <f t="shared" si="9"/>
        <v>0.10344827586206896</v>
      </c>
      <c r="G96" s="139">
        <f t="shared" si="9"/>
        <v>9.0909090909090912E-2</v>
      </c>
      <c r="H96" s="139">
        <f t="shared" si="9"/>
        <v>9.0909090909090912E-2</v>
      </c>
    </row>
    <row r="97" spans="2:8" ht="58.5" customHeight="1" thickBot="1" x14ac:dyDescent="0.25">
      <c r="B97" s="137" t="s">
        <v>77</v>
      </c>
      <c r="C97" s="140">
        <f t="shared" ref="C97:H97" si="10">+C96+C95+($C$83/C92)</f>
        <v>0.98333333333333328</v>
      </c>
      <c r="D97" s="140">
        <f t="shared" si="10"/>
        <v>0.91666666666666674</v>
      </c>
      <c r="E97" s="140">
        <f t="shared" si="10"/>
        <v>0.91666666666666674</v>
      </c>
      <c r="F97" s="140">
        <f t="shared" si="10"/>
        <v>1.0086206896551724</v>
      </c>
      <c r="G97" s="140">
        <f t="shared" si="10"/>
        <v>0.91666666666666674</v>
      </c>
      <c r="H97" s="140">
        <f t="shared" si="10"/>
        <v>0.91666666666666674</v>
      </c>
    </row>
  </sheetData>
  <mergeCells count="7">
    <mergeCell ref="B47:D48"/>
    <mergeCell ref="C45:H45"/>
    <mergeCell ref="C44:H44"/>
    <mergeCell ref="C24:H24"/>
    <mergeCell ref="C29:H29"/>
    <mergeCell ref="C34:H34"/>
    <mergeCell ref="C39:H39"/>
  </mergeCells>
  <phoneticPr fontId="6" type="noConversion"/>
  <hyperlinks>
    <hyperlink ref="B5" r:id="rId1" xr:uid="{00000000-0004-0000-0000-000000000000}"/>
  </hyperlinks>
  <pageMargins left="0.35433070866141736" right="0.15748031496062992" top="0.19685039370078741" bottom="0.35433070866141736" header="0.19685039370078741" footer="0.23622047244094491"/>
  <pageSetup paperSize="9" scale="88" orientation="portrait" r:id="rId2"/>
  <headerFooter alignWithMargins="0"/>
  <ignoredErrors>
    <ignoredError sqref="D36:D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5"/>
  <sheetViews>
    <sheetView workbookViewId="0">
      <selection activeCell="H33" sqref="H33"/>
    </sheetView>
  </sheetViews>
  <sheetFormatPr baseColWidth="10" defaultRowHeight="12.75" x14ac:dyDescent="0.2"/>
  <cols>
    <col min="1" max="1" width="2.28515625" style="34" customWidth="1"/>
    <col min="2" max="2" width="12.5703125" style="34" customWidth="1"/>
    <col min="3" max="3" width="11.42578125" style="34"/>
    <col min="4" max="4" width="12.140625" style="34" customWidth="1"/>
    <col min="5" max="5" width="11.42578125" style="34"/>
    <col min="6" max="6" width="14.28515625" style="34" customWidth="1"/>
    <col min="7" max="7" width="14.85546875" style="34" customWidth="1"/>
    <col min="8" max="8" width="11.7109375" style="34" customWidth="1"/>
    <col min="9" max="9" width="4.28515625" style="34" customWidth="1"/>
    <col min="10" max="16384" width="11.42578125" style="34"/>
  </cols>
  <sheetData>
    <row r="1" spans="2:8" ht="18" x14ac:dyDescent="0.25">
      <c r="B1" s="7" t="s">
        <v>79</v>
      </c>
    </row>
    <row r="2" spans="2:8" x14ac:dyDescent="0.2">
      <c r="B2" s="9" t="s">
        <v>5</v>
      </c>
    </row>
    <row r="3" spans="2:8" x14ac:dyDescent="0.2">
      <c r="B3" s="9" t="s">
        <v>6</v>
      </c>
    </row>
    <row r="4" spans="2:8" x14ac:dyDescent="0.2">
      <c r="B4" s="9" t="s">
        <v>13</v>
      </c>
    </row>
    <row r="5" spans="2:8" x14ac:dyDescent="0.2">
      <c r="B5" s="9" t="s">
        <v>14</v>
      </c>
    </row>
    <row r="6" spans="2:8" x14ac:dyDescent="0.2">
      <c r="B6" s="84" t="s">
        <v>80</v>
      </c>
    </row>
    <row r="7" spans="2:8" x14ac:dyDescent="0.2">
      <c r="B7" s="35"/>
    </row>
    <row r="8" spans="2:8" ht="24" hidden="1" customHeight="1" x14ac:dyDescent="0.3">
      <c r="B8" s="8" t="s">
        <v>54</v>
      </c>
      <c r="G8" s="34" t="s">
        <v>55</v>
      </c>
    </row>
    <row r="9" spans="2:8" hidden="1" x14ac:dyDescent="0.2">
      <c r="B9" s="9" t="s">
        <v>23</v>
      </c>
      <c r="C9" s="46"/>
      <c r="D9" s="46"/>
      <c r="E9" s="46"/>
      <c r="F9" s="16"/>
    </row>
    <row r="10" spans="2:8" s="36" customFormat="1" ht="48.75" hidden="1" customHeight="1" x14ac:dyDescent="0.2">
      <c r="B10" s="37" t="s">
        <v>26</v>
      </c>
      <c r="C10" s="83" t="s">
        <v>48</v>
      </c>
      <c r="D10" s="38" t="s">
        <v>30</v>
      </c>
      <c r="E10" s="38" t="s">
        <v>31</v>
      </c>
      <c r="F10" s="75" t="s">
        <v>53</v>
      </c>
      <c r="G10" s="75" t="s">
        <v>52</v>
      </c>
      <c r="H10" s="75" t="s">
        <v>51</v>
      </c>
    </row>
    <row r="11" spans="2:8" hidden="1" x14ac:dyDescent="0.2">
      <c r="B11" s="19" t="s">
        <v>33</v>
      </c>
      <c r="C11" s="39">
        <v>3.85</v>
      </c>
      <c r="D11" s="39">
        <v>3.75</v>
      </c>
      <c r="E11" s="40">
        <v>3.55</v>
      </c>
      <c r="F11" s="39">
        <v>3.5</v>
      </c>
      <c r="G11" s="40">
        <v>3.2</v>
      </c>
      <c r="H11" s="40">
        <v>2.7</v>
      </c>
    </row>
    <row r="12" spans="2:8" ht="13.5" hidden="1" thickBot="1" x14ac:dyDescent="0.25">
      <c r="B12" s="20"/>
      <c r="C12" s="102" t="s">
        <v>50</v>
      </c>
      <c r="D12" s="74"/>
      <c r="E12" s="74"/>
      <c r="F12" s="76"/>
      <c r="G12" s="77"/>
      <c r="H12" s="77"/>
    </row>
    <row r="13" spans="2:8" hidden="1" x14ac:dyDescent="0.2"/>
    <row r="14" spans="2:8" hidden="1" x14ac:dyDescent="0.2">
      <c r="B14" s="21" t="s">
        <v>27</v>
      </c>
      <c r="C14" s="41"/>
      <c r="D14" s="42"/>
    </row>
    <row r="15" spans="2:8" ht="13.5" hidden="1" thickBot="1" x14ac:dyDescent="0.25">
      <c r="B15" s="43"/>
      <c r="C15" s="44" t="s">
        <v>28</v>
      </c>
      <c r="D15" s="45">
        <v>-5</v>
      </c>
    </row>
    <row r="16" spans="2:8" ht="13.5" thickBot="1" x14ac:dyDescent="0.25">
      <c r="D16" s="85"/>
    </row>
    <row r="17" spans="2:8" ht="20.25" x14ac:dyDescent="0.3">
      <c r="B17" s="86" t="s">
        <v>93</v>
      </c>
      <c r="C17" s="41"/>
      <c r="D17" s="41"/>
      <c r="E17" s="41"/>
      <c r="F17" s="41"/>
      <c r="G17" s="87" t="s">
        <v>178</v>
      </c>
      <c r="H17" s="88"/>
    </row>
    <row r="18" spans="2:8" x14ac:dyDescent="0.2">
      <c r="B18" s="89" t="s">
        <v>73</v>
      </c>
      <c r="C18" s="46"/>
      <c r="D18" s="46"/>
      <c r="E18" s="46"/>
      <c r="F18" s="16"/>
      <c r="H18" s="53"/>
    </row>
    <row r="19" spans="2:8" x14ac:dyDescent="0.2">
      <c r="B19" s="89" t="s">
        <v>92</v>
      </c>
      <c r="C19" s="46"/>
      <c r="D19" s="46"/>
      <c r="E19" s="46"/>
      <c r="F19" s="16"/>
      <c r="H19" s="53"/>
    </row>
    <row r="20" spans="2:8" ht="13.5" thickBot="1" x14ac:dyDescent="0.25">
      <c r="B20" s="1" t="s">
        <v>85</v>
      </c>
      <c r="C20" s="90"/>
      <c r="D20" s="90"/>
      <c r="E20" s="90"/>
      <c r="F20" s="90"/>
      <c r="G20" s="91"/>
      <c r="H20" s="92"/>
    </row>
    <row r="21" spans="2:8" ht="13.5" thickBot="1" x14ac:dyDescent="0.25">
      <c r="B21" s="1"/>
      <c r="C21" s="90"/>
      <c r="D21" s="90"/>
      <c r="E21" s="90"/>
      <c r="F21" s="90"/>
      <c r="G21" s="91"/>
      <c r="H21" s="92"/>
    </row>
    <row r="22" spans="2:8" ht="13.5" thickBot="1" x14ac:dyDescent="0.25">
      <c r="B22" s="1" t="s">
        <v>71</v>
      </c>
      <c r="C22" s="90">
        <v>0.9</v>
      </c>
      <c r="D22" s="90">
        <v>0.9</v>
      </c>
      <c r="E22" s="90">
        <v>0.9</v>
      </c>
      <c r="F22" s="90">
        <v>0.9</v>
      </c>
      <c r="G22" s="90">
        <v>0.9</v>
      </c>
      <c r="H22" s="92">
        <v>0.9</v>
      </c>
    </row>
    <row r="23" spans="2:8" ht="13.5" thickBot="1" x14ac:dyDescent="0.25">
      <c r="B23" s="1"/>
      <c r="C23" s="90"/>
      <c r="D23" s="90"/>
      <c r="E23" s="90"/>
      <c r="F23" s="90"/>
      <c r="G23" s="91"/>
      <c r="H23" s="92"/>
    </row>
    <row r="24" spans="2:8" ht="28.5" customHeight="1" thickBot="1" x14ac:dyDescent="0.35">
      <c r="B24" s="23"/>
      <c r="C24" s="22" t="s">
        <v>1</v>
      </c>
      <c r="D24" s="22" t="s">
        <v>7</v>
      </c>
      <c r="E24" s="22" t="s">
        <v>24</v>
      </c>
      <c r="F24" s="22" t="s">
        <v>0</v>
      </c>
      <c r="G24" s="22" t="s">
        <v>104</v>
      </c>
      <c r="H24" s="22" t="s">
        <v>104</v>
      </c>
    </row>
    <row r="25" spans="2:8" ht="58.5" customHeight="1" thickBot="1" x14ac:dyDescent="0.25">
      <c r="B25" s="71" t="s">
        <v>47</v>
      </c>
      <c r="C25" s="12">
        <v>0.95</v>
      </c>
      <c r="D25" s="30" t="s">
        <v>46</v>
      </c>
      <c r="E25" s="30">
        <v>1</v>
      </c>
      <c r="F25" s="12" t="s">
        <v>42</v>
      </c>
      <c r="G25" s="242"/>
      <c r="H25" s="241"/>
    </row>
    <row r="26" spans="2:8" ht="26.25" thickBot="1" x14ac:dyDescent="0.25">
      <c r="B26" s="14" t="s">
        <v>25</v>
      </c>
      <c r="C26" s="15" t="s">
        <v>84</v>
      </c>
      <c r="D26" s="15" t="s">
        <v>86</v>
      </c>
      <c r="E26" s="15" t="s">
        <v>84</v>
      </c>
      <c r="F26" s="13" t="s">
        <v>83</v>
      </c>
      <c r="G26" s="31" t="s">
        <v>108</v>
      </c>
      <c r="H26" s="31" t="s">
        <v>83</v>
      </c>
    </row>
    <row r="27" spans="2:8" ht="39.75" customHeight="1" thickBot="1" x14ac:dyDescent="0.25">
      <c r="B27" s="93" t="s">
        <v>49</v>
      </c>
      <c r="C27" s="94" t="s">
        <v>101</v>
      </c>
      <c r="D27" s="94" t="s">
        <v>58</v>
      </c>
      <c r="E27" s="95" t="s">
        <v>59</v>
      </c>
      <c r="F27" s="97" t="s">
        <v>82</v>
      </c>
      <c r="G27" s="96" t="s">
        <v>109</v>
      </c>
      <c r="H27" s="96" t="s">
        <v>105</v>
      </c>
    </row>
    <row r="28" spans="2:8" ht="17.25" customHeight="1" thickBot="1" x14ac:dyDescent="0.25">
      <c r="B28" s="93"/>
      <c r="C28" s="95"/>
      <c r="D28" s="98"/>
      <c r="E28" s="98"/>
      <c r="F28" s="98"/>
      <c r="G28" s="96"/>
      <c r="H28" s="96"/>
    </row>
    <row r="29" spans="2:8" ht="13.5" thickBot="1" x14ac:dyDescent="0.25">
      <c r="B29" s="18">
        <v>-0.1</v>
      </c>
      <c r="C29" s="266" t="s">
        <v>10</v>
      </c>
      <c r="D29" s="262"/>
      <c r="E29" s="262"/>
      <c r="F29" s="262"/>
      <c r="G29" s="262"/>
      <c r="H29" s="264"/>
    </row>
    <row r="30" spans="2:8" x14ac:dyDescent="0.2">
      <c r="B30" s="24" t="s">
        <v>2</v>
      </c>
      <c r="C30" s="116">
        <f>(+'Auszahlung Erzeuger'!C25*'Auszahlung Erzeuger'!$C$92/'Auszahlung Erzeuger'!$C$93)+$C$22</f>
        <v>8.1448979591836732</v>
      </c>
      <c r="D30" s="116">
        <f>(+'Auszahlung Erzeuger'!D25*'Auszahlung Erzeuger'!$D$92/'Auszahlung Erzeuger'!$D$93)+$D$22</f>
        <v>8.2979591836734699</v>
      </c>
      <c r="E30" s="116">
        <f>(+'Auszahlung Erzeuger'!E25*'Auszahlung Erzeuger'!$E$92/'Auszahlung Erzeuger'!$E$93)+$E$22</f>
        <v>8.2979591836734699</v>
      </c>
      <c r="F30" s="116">
        <f>(+'Auszahlung Erzeuger'!F25*'Auszahlung Erzeuger'!$F$92/'Auszahlung Erzeuger'!$F$93)+$F$22</f>
        <v>7.2775510204081639</v>
      </c>
      <c r="G30" s="107">
        <f>(+'Auszahlung Erzeuger'!G25*'Auszahlung Erzeuger'!$G$92/'Auszahlung Erzeuger'!$G$93)+$H$22</f>
        <v>7.7877551020408173</v>
      </c>
      <c r="H30" s="107">
        <f>(+'Auszahlung Erzeuger'!H25*'Auszahlung Erzeuger'!$G$92/'Auszahlung Erzeuger'!$G$93)+$H$22</f>
        <v>7.5836734693877563</v>
      </c>
    </row>
    <row r="31" spans="2:8" x14ac:dyDescent="0.2">
      <c r="B31" s="24" t="s">
        <v>3</v>
      </c>
      <c r="C31" s="117">
        <f>(+'Auszahlung Erzeuger'!C26*'Auszahlung Erzeuger'!$C$92/'Auszahlung Erzeuger'!$C$93)+$C$22</f>
        <v>8.0428571428571427</v>
      </c>
      <c r="D31" s="117">
        <f>(+'Auszahlung Erzeuger'!D26*'Auszahlung Erzeuger'!$D$92/'Auszahlung Erzeuger'!$D$93)+$D$22</f>
        <v>8.1959183673469393</v>
      </c>
      <c r="E31" s="117">
        <f>(+'Auszahlung Erzeuger'!E26*'Auszahlung Erzeuger'!$E$92/'Auszahlung Erzeuger'!$E$93)+$E$22</f>
        <v>8.1959183673469393</v>
      </c>
      <c r="F31" s="117">
        <f>(+'Auszahlung Erzeuger'!F26*'Auszahlung Erzeuger'!$F$92/'Auszahlung Erzeuger'!$F$93)+$F$22</f>
        <v>7.2265306122448987</v>
      </c>
      <c r="G31" s="114">
        <f>(+'Auszahlung Erzeuger'!G26*'Auszahlung Erzeuger'!$G$92/'Auszahlung Erzeuger'!$G$93)+$H$22</f>
        <v>7.7367346938775521</v>
      </c>
      <c r="H31" s="114">
        <f>(+'Auszahlung Erzeuger'!H26*'Auszahlung Erzeuger'!$G$92/'Auszahlung Erzeuger'!$G$93)+$H$22</f>
        <v>7.5326530612244902</v>
      </c>
    </row>
    <row r="32" spans="2:8" x14ac:dyDescent="0.2">
      <c r="B32" s="25" t="s">
        <v>4</v>
      </c>
      <c r="C32" s="117">
        <f>(+'Auszahlung Erzeuger'!C27*'Auszahlung Erzeuger'!$C$92/'Auszahlung Erzeuger'!$C$93)+$C$22</f>
        <v>7.8897959183673469</v>
      </c>
      <c r="D32" s="117">
        <f>(+'Auszahlung Erzeuger'!D27*'Auszahlung Erzeuger'!$D$92/'Auszahlung Erzeuger'!$D$93)+$D$22</f>
        <v>7.9408163265306131</v>
      </c>
      <c r="E32" s="117">
        <f>(+'Auszahlung Erzeuger'!E27*'Auszahlung Erzeuger'!$E$92/'Auszahlung Erzeuger'!$E$93)+$E$22</f>
        <v>7.9408163265306131</v>
      </c>
      <c r="F32" s="117">
        <f>(+'Auszahlung Erzeuger'!F27*'Auszahlung Erzeuger'!$F$92/'Auszahlung Erzeuger'!$F$93)+$F$22</f>
        <v>7.0224489795918377</v>
      </c>
      <c r="G32" s="114">
        <f>(+'Auszahlung Erzeuger'!G27*'Auszahlung Erzeuger'!$G$92/'Auszahlung Erzeuger'!$G$93)+$H$22</f>
        <v>7.5326530612244902</v>
      </c>
      <c r="H32" s="114">
        <f>(+'Auszahlung Erzeuger'!H27*'Auszahlung Erzeuger'!$G$92/'Auszahlung Erzeuger'!$G$93)+$H$22</f>
        <v>7.3285714285714292</v>
      </c>
    </row>
    <row r="33" spans="2:8" ht="13.5" thickBot="1" x14ac:dyDescent="0.25">
      <c r="B33" s="29" t="s">
        <v>15</v>
      </c>
      <c r="C33" s="118">
        <f>(+'Auszahlung Erzeuger'!C28*'Auszahlung Erzeuger'!$C$92/'Auszahlung Erzeuger'!$C$93)+$C$22</f>
        <v>6.4102040816326538</v>
      </c>
      <c r="D33" s="118">
        <f>(+'Auszahlung Erzeuger'!D28*'Auszahlung Erzeuger'!$D$92/'Auszahlung Erzeuger'!$D$93)+$D$22</f>
        <v>6.4102040816326546</v>
      </c>
      <c r="E33" s="118">
        <f>(+'Auszahlung Erzeuger'!E28*'Auszahlung Erzeuger'!$E$92/'Auszahlung Erzeuger'!$E$93)+$E$22</f>
        <v>6.4102040816326546</v>
      </c>
      <c r="F33" s="118">
        <f>(+'Auszahlung Erzeuger'!F28*'Auszahlung Erzeuger'!$F$92/'Auszahlung Erzeuger'!$F$93)+$F$22</f>
        <v>6.4102040816326538</v>
      </c>
      <c r="G33" s="115">
        <f>(+'Auszahlung Erzeuger'!G28*'Auszahlung Erzeuger'!$G$92/'Auszahlung Erzeuger'!$G$93)+$H$22</f>
        <v>6.4102040816326546</v>
      </c>
      <c r="H33" s="115">
        <f>(+'Auszahlung Erzeuger'!H28*'Auszahlung Erzeuger'!$G$92/'Auszahlung Erzeuger'!$G$93)+$H$22</f>
        <v>6.4102040816326546</v>
      </c>
    </row>
    <row r="34" spans="2:8" ht="13.5" thickBot="1" x14ac:dyDescent="0.25">
      <c r="B34" s="26" t="s">
        <v>21</v>
      </c>
      <c r="C34" s="267" t="s">
        <v>44</v>
      </c>
      <c r="D34" s="265"/>
      <c r="E34" s="265"/>
      <c r="F34" s="265"/>
      <c r="G34" s="265"/>
      <c r="H34" s="264"/>
    </row>
    <row r="35" spans="2:8" x14ac:dyDescent="0.2">
      <c r="B35" s="24" t="s">
        <v>2</v>
      </c>
      <c r="C35" s="116">
        <f>(+'Auszahlung Erzeuger'!C30*'Auszahlung Erzeuger'!$C$92/'Auszahlung Erzeuger'!$C$93)+$C$22</f>
        <v>8.2469387755102037</v>
      </c>
      <c r="D35" s="107">
        <f>(+'Auszahlung Erzeuger'!D30*'Auszahlung Erzeuger'!$D$92/'Auszahlung Erzeuger'!$D$93)+$D$22</f>
        <v>8.4</v>
      </c>
      <c r="E35" s="107">
        <f>(+'Auszahlung Erzeuger'!E30*'Auszahlung Erzeuger'!$E$92/'Auszahlung Erzeuger'!$E$93)+$E$22</f>
        <v>8.4</v>
      </c>
      <c r="F35" s="107">
        <f>(+'Auszahlung Erzeuger'!F30*'Auszahlung Erzeuger'!$F$92/'Auszahlung Erzeuger'!$F$93)+$F$22</f>
        <v>7.3795918367346944</v>
      </c>
      <c r="G35" s="107">
        <f>(+'Auszahlung Erzeuger'!G30*'Auszahlung Erzeuger'!$G$92/'Auszahlung Erzeuger'!$G$93)+$H$22</f>
        <v>7.8897959183673478</v>
      </c>
      <c r="H35" s="107">
        <f>(+'Auszahlung Erzeuger'!H30*'Auszahlung Erzeuger'!$G$92/'Auszahlung Erzeuger'!$G$93)+$H$22</f>
        <v>7.6857142857142868</v>
      </c>
    </row>
    <row r="36" spans="2:8" x14ac:dyDescent="0.2">
      <c r="B36" s="24" t="s">
        <v>3</v>
      </c>
      <c r="C36" s="117">
        <f>(+'Auszahlung Erzeuger'!C31*'Auszahlung Erzeuger'!$C$92/'Auszahlung Erzeuger'!$C$93)+$C$22</f>
        <v>8.1448979591836732</v>
      </c>
      <c r="D36" s="114">
        <f>(+'Auszahlung Erzeuger'!D31*'Auszahlung Erzeuger'!$D$92/'Auszahlung Erzeuger'!$D$93)+$D$22</f>
        <v>8.2979591836734699</v>
      </c>
      <c r="E36" s="114">
        <f>(+'Auszahlung Erzeuger'!E31*'Auszahlung Erzeuger'!$E$92/'Auszahlung Erzeuger'!$E$93)+$E$22</f>
        <v>8.2979591836734699</v>
      </c>
      <c r="F36" s="114">
        <f>(+'Auszahlung Erzeuger'!F31*'Auszahlung Erzeuger'!$F$92/'Auszahlung Erzeuger'!$F$93)+$F$22</f>
        <v>7.3285714285714292</v>
      </c>
      <c r="G36" s="114">
        <f>(+'Auszahlung Erzeuger'!G31*'Auszahlung Erzeuger'!$G$92/'Auszahlung Erzeuger'!$G$93)+$H$22</f>
        <v>7.8387755102040826</v>
      </c>
      <c r="H36" s="114">
        <f>(+'Auszahlung Erzeuger'!H31*'Auszahlung Erzeuger'!$G$92/'Auszahlung Erzeuger'!$G$93)+$H$22</f>
        <v>7.6346938775510216</v>
      </c>
    </row>
    <row r="37" spans="2:8" x14ac:dyDescent="0.2">
      <c r="B37" s="25" t="s">
        <v>4</v>
      </c>
      <c r="C37" s="117">
        <f>(+'Auszahlung Erzeuger'!C32*'Auszahlung Erzeuger'!$C$92/'Auszahlung Erzeuger'!$C$93)+$C$22</f>
        <v>7.9918367346938783</v>
      </c>
      <c r="D37" s="114">
        <f>(+'Auszahlung Erzeuger'!D32*'Auszahlung Erzeuger'!$D$92/'Auszahlung Erzeuger'!$D$93)+$D$22</f>
        <v>8.0428571428571427</v>
      </c>
      <c r="E37" s="114">
        <f>(+'Auszahlung Erzeuger'!E32*'Auszahlung Erzeuger'!$E$92/'Auszahlung Erzeuger'!$E$93)+$E$22</f>
        <v>8.0428571428571427</v>
      </c>
      <c r="F37" s="114">
        <f>(+'Auszahlung Erzeuger'!F32*'Auszahlung Erzeuger'!$F$92/'Auszahlung Erzeuger'!$F$93)+$F$22</f>
        <v>7.1244897959183682</v>
      </c>
      <c r="G37" s="114">
        <f>(+'Auszahlung Erzeuger'!G32*'Auszahlung Erzeuger'!$G$92/'Auszahlung Erzeuger'!$G$93)+$H$22</f>
        <v>7.6346938775510216</v>
      </c>
      <c r="H37" s="114">
        <f>(+'Auszahlung Erzeuger'!H32*'Auszahlung Erzeuger'!$G$92/'Auszahlung Erzeuger'!$G$93)+$H$22</f>
        <v>7.4306122448979597</v>
      </c>
    </row>
    <row r="38" spans="2:8" ht="13.5" thickBot="1" x14ac:dyDescent="0.25">
      <c r="B38" s="29" t="s">
        <v>15</v>
      </c>
      <c r="C38" s="118">
        <f>(+'Auszahlung Erzeuger'!C33*'Auszahlung Erzeuger'!$C$92/'Auszahlung Erzeuger'!$C$93)+$C$22</f>
        <v>6.6142857142857148</v>
      </c>
      <c r="D38" s="115">
        <f>(+'Auszahlung Erzeuger'!D33*'Auszahlung Erzeuger'!$D$92/'Auszahlung Erzeuger'!$D$93)+$D$22</f>
        <v>6.6142857142857148</v>
      </c>
      <c r="E38" s="115">
        <f>(+'Auszahlung Erzeuger'!E33*'Auszahlung Erzeuger'!$E$92/'Auszahlung Erzeuger'!$E$93)+$E$22</f>
        <v>6.5122448979591843</v>
      </c>
      <c r="F38" s="115">
        <f>(+'Auszahlung Erzeuger'!F33*'Auszahlung Erzeuger'!$F$92/'Auszahlung Erzeuger'!$F$93)+$F$22</f>
        <v>6.5122448979591843</v>
      </c>
      <c r="G38" s="115">
        <f>(+'Auszahlung Erzeuger'!G33*'Auszahlung Erzeuger'!$G$92/'Auszahlung Erzeuger'!$G$93)+$H$22</f>
        <v>6.6142857142857148</v>
      </c>
      <c r="H38" s="115">
        <f>(+'Auszahlung Erzeuger'!H33*'Auszahlung Erzeuger'!$G$92/'Auszahlung Erzeuger'!$G$93)+$H$22</f>
        <v>6.6142857142857148</v>
      </c>
    </row>
    <row r="39" spans="2:8" ht="13.5" thickBot="1" x14ac:dyDescent="0.25">
      <c r="B39" s="27">
        <v>0.05</v>
      </c>
      <c r="C39" s="261" t="s">
        <v>12</v>
      </c>
      <c r="D39" s="263"/>
      <c r="E39" s="263"/>
      <c r="F39" s="263"/>
      <c r="G39" s="263"/>
      <c r="H39" s="264"/>
    </row>
    <row r="40" spans="2:8" x14ac:dyDescent="0.2">
      <c r="B40" s="24" t="s">
        <v>2</v>
      </c>
      <c r="C40" s="107">
        <f>(+'Auszahlung Erzeuger'!C35*'Auszahlung Erzeuger'!$C$92/'Auszahlung Erzeuger'!$C$93)+$C$22</f>
        <v>8.2979591836734699</v>
      </c>
      <c r="D40" s="107">
        <f>(+'Auszahlung Erzeuger'!D35*'Auszahlung Erzeuger'!$D$92/'Auszahlung Erzeuger'!$D$93)+$D$22</f>
        <v>8.4510204081632665</v>
      </c>
      <c r="E40" s="107">
        <f>(+'Auszahlung Erzeuger'!E35*'Auszahlung Erzeuger'!$E$92/'Auszahlung Erzeuger'!$E$93)+$E$22</f>
        <v>8.4510204081632665</v>
      </c>
      <c r="F40" s="107">
        <f>(+'Auszahlung Erzeuger'!F35*'Auszahlung Erzeuger'!$F$92/'Auszahlung Erzeuger'!$F$93)+$F$22</f>
        <v>7.4306122448979588</v>
      </c>
      <c r="G40" s="107">
        <f>(+'Auszahlung Erzeuger'!G35*'Auszahlung Erzeuger'!$G$92/'Auszahlung Erzeuger'!$G$93)+$H$22</f>
        <v>7.9408163265306131</v>
      </c>
      <c r="H40" s="107">
        <f>(+'Auszahlung Erzeuger'!H35*'Auszahlung Erzeuger'!$G$92/'Auszahlung Erzeuger'!$G$93)+$H$22</f>
        <v>7.7367346938775503</v>
      </c>
    </row>
    <row r="41" spans="2:8" x14ac:dyDescent="0.2">
      <c r="B41" s="24" t="s">
        <v>3</v>
      </c>
      <c r="C41" s="114">
        <f>(+'Auszahlung Erzeuger'!C36*'Auszahlung Erzeuger'!$C$92/'Auszahlung Erzeuger'!$C$93)+$C$22</f>
        <v>8.1959183673469393</v>
      </c>
      <c r="D41" s="114">
        <f>(+'Auszahlung Erzeuger'!D36*'Auszahlung Erzeuger'!$D$92/'Auszahlung Erzeuger'!$D$93)+$D$22</f>
        <v>8.348979591836736</v>
      </c>
      <c r="E41" s="114">
        <f>(+'Auszahlung Erzeuger'!E36*'Auszahlung Erzeuger'!$E$92/'Auszahlung Erzeuger'!$E$93)+$E$22</f>
        <v>8.348979591836736</v>
      </c>
      <c r="F41" s="114">
        <f>(+'Auszahlung Erzeuger'!F36*'Auszahlung Erzeuger'!$F$92/'Auszahlung Erzeuger'!$F$93)+$F$22</f>
        <v>7.3795918367346944</v>
      </c>
      <c r="G41" s="114">
        <f>(+'Auszahlung Erzeuger'!G36*'Auszahlung Erzeuger'!$G$92/'Auszahlung Erzeuger'!$G$93)+$H$22</f>
        <v>7.8897959183673478</v>
      </c>
      <c r="H41" s="114">
        <f>(+'Auszahlung Erzeuger'!H36*'Auszahlung Erzeuger'!$G$92/'Auszahlung Erzeuger'!$G$93)+$H$22</f>
        <v>7.6857142857142868</v>
      </c>
    </row>
    <row r="42" spans="2:8" x14ac:dyDescent="0.2">
      <c r="B42" s="25" t="s">
        <v>4</v>
      </c>
      <c r="C42" s="114">
        <f>(+'Auszahlung Erzeuger'!C37*'Auszahlung Erzeuger'!$C$92/'Auszahlung Erzeuger'!$C$93)+$C$22</f>
        <v>8.0428571428571427</v>
      </c>
      <c r="D42" s="114">
        <f>(+'Auszahlung Erzeuger'!D37*'Auszahlung Erzeuger'!$D$92/'Auszahlung Erzeuger'!$D$93)+$D$22</f>
        <v>8.0938775510204088</v>
      </c>
      <c r="E42" s="114">
        <f>(+'Auszahlung Erzeuger'!E37*'Auszahlung Erzeuger'!$E$92/'Auszahlung Erzeuger'!$E$93)+$E$22</f>
        <v>8.0938775510204088</v>
      </c>
      <c r="F42" s="114">
        <f>(+'Auszahlung Erzeuger'!F37*'Auszahlung Erzeuger'!$F$92/'Auszahlung Erzeuger'!$F$93)+$F$22</f>
        <v>7.1755102040816325</v>
      </c>
      <c r="G42" s="114">
        <f>(+'Auszahlung Erzeuger'!G37*'Auszahlung Erzeuger'!$G$92/'Auszahlung Erzeuger'!$G$93)+$H$22</f>
        <v>7.6857142857142868</v>
      </c>
      <c r="H42" s="114">
        <f>(+'Auszahlung Erzeuger'!H37*'Auszahlung Erzeuger'!$G$92/'Auszahlung Erzeuger'!$G$93)+$H$22</f>
        <v>7.481632653061224</v>
      </c>
    </row>
    <row r="43" spans="2:8" ht="13.5" thickBot="1" x14ac:dyDescent="0.25">
      <c r="B43" s="25" t="s">
        <v>15</v>
      </c>
      <c r="C43" s="115">
        <f>(+'Auszahlung Erzeuger'!C38*'Auszahlung Erzeuger'!$C$92/'Auszahlung Erzeuger'!$C$93)+$C$22</f>
        <v>6.6142857142857148</v>
      </c>
      <c r="D43" s="115">
        <f>(+'Auszahlung Erzeuger'!D38*'Auszahlung Erzeuger'!$D$92/'Auszahlung Erzeuger'!$D$93)+$D$22</f>
        <v>6.6142857142857148</v>
      </c>
      <c r="E43" s="115">
        <f>(+'Auszahlung Erzeuger'!E38*'Auszahlung Erzeuger'!$E$92/'Auszahlung Erzeuger'!$E$93)+$E$22</f>
        <v>6.5122448979591843</v>
      </c>
      <c r="F43" s="115">
        <f>(+'Auszahlung Erzeuger'!F38*'Auszahlung Erzeuger'!$F$92/'Auszahlung Erzeuger'!$F$93)+$F$22</f>
        <v>6.5122448979591843</v>
      </c>
      <c r="G43" s="115">
        <f>(+'Auszahlung Erzeuger'!G38*'Auszahlung Erzeuger'!$G$92/'Auszahlung Erzeuger'!$G$93)+$H$22</f>
        <v>6.6142857142857148</v>
      </c>
      <c r="H43" s="115">
        <f>(+'Auszahlung Erzeuger'!H38*'Auszahlung Erzeuger'!$G$92/'Auszahlung Erzeuger'!$G$93)+$H$22</f>
        <v>6.6142857142857148</v>
      </c>
    </row>
    <row r="44" spans="2:8" ht="13.5" thickBot="1" x14ac:dyDescent="0.25">
      <c r="B44" s="28">
        <v>-0.1</v>
      </c>
      <c r="C44" s="258" t="s">
        <v>9</v>
      </c>
      <c r="D44" s="259"/>
      <c r="E44" s="259"/>
      <c r="F44" s="259"/>
      <c r="G44" s="259"/>
      <c r="H44" s="260"/>
    </row>
    <row r="45" spans="2:8" x14ac:dyDescent="0.2">
      <c r="B45" s="24" t="s">
        <v>2</v>
      </c>
      <c r="C45" s="107">
        <f>(+'Auszahlung Erzeuger'!C40*'Auszahlung Erzeuger'!$C$92/'Auszahlung Erzeuger'!$C$93)+$C$22</f>
        <v>8.1448979591836732</v>
      </c>
      <c r="D45" s="107">
        <f>(+'Auszahlung Erzeuger'!D40*'Auszahlung Erzeuger'!$D$92/'Auszahlung Erzeuger'!$D$93)+$D$22</f>
        <v>8.2979591836734681</v>
      </c>
      <c r="E45" s="107">
        <f>(+'Auszahlung Erzeuger'!E40*'Auszahlung Erzeuger'!$E$92/'Auszahlung Erzeuger'!$E$93)+$E$22</f>
        <v>8.2979591836734681</v>
      </c>
      <c r="F45" s="107">
        <f>(+'Auszahlung Erzeuger'!F40*'Auszahlung Erzeuger'!$F$92/'Auszahlung Erzeuger'!$F$93)+$F$22</f>
        <v>7.277551020408163</v>
      </c>
      <c r="G45" s="107">
        <f>(+'Auszahlung Erzeuger'!G40*'Auszahlung Erzeuger'!$G$92/'Auszahlung Erzeuger'!$G$93)+$H$22</f>
        <v>7.7877551020408156</v>
      </c>
      <c r="H45" s="107">
        <f>(+'Auszahlung Erzeuger'!H40*'Auszahlung Erzeuger'!$G$92/'Auszahlung Erzeuger'!$G$93)+$H$22</f>
        <v>7.5836734693877546</v>
      </c>
    </row>
    <row r="46" spans="2:8" x14ac:dyDescent="0.2">
      <c r="B46" s="24" t="s">
        <v>3</v>
      </c>
      <c r="C46" s="114">
        <f>(+'Auszahlung Erzeuger'!C41*'Auszahlung Erzeuger'!$C$92/'Auszahlung Erzeuger'!$C$93)+$C$22</f>
        <v>8.0428571428571409</v>
      </c>
      <c r="D46" s="114">
        <f>(+'Auszahlung Erzeuger'!D41*'Auszahlung Erzeuger'!$D$92/'Auszahlung Erzeuger'!$D$93)+$D$22</f>
        <v>8.1959183673469393</v>
      </c>
      <c r="E46" s="114">
        <f>(+'Auszahlung Erzeuger'!E41*'Auszahlung Erzeuger'!$E$92/'Auszahlung Erzeuger'!$E$93)+$E$22</f>
        <v>8.1959183673469393</v>
      </c>
      <c r="F46" s="114">
        <f>(+'Auszahlung Erzeuger'!F41*'Auszahlung Erzeuger'!$F$92/'Auszahlung Erzeuger'!$F$93)+$F$22</f>
        <v>7.2265306122448978</v>
      </c>
      <c r="G46" s="114">
        <f>(+'Auszahlung Erzeuger'!G41*'Auszahlung Erzeuger'!$G$92/'Auszahlung Erzeuger'!$G$93)+$H$22</f>
        <v>7.7367346938775503</v>
      </c>
      <c r="H46" s="114">
        <f>(+'Auszahlung Erzeuger'!H41*'Auszahlung Erzeuger'!$G$92/'Auszahlung Erzeuger'!$G$93)+$H$22</f>
        <v>7.5326530612244893</v>
      </c>
    </row>
    <row r="47" spans="2:8" x14ac:dyDescent="0.2">
      <c r="B47" s="25" t="s">
        <v>4</v>
      </c>
      <c r="C47" s="114">
        <f>(+'Auszahlung Erzeuger'!C42*'Auszahlung Erzeuger'!$C$92/'Auszahlung Erzeuger'!$C$93)+$C$22</f>
        <v>7.8897959183673469</v>
      </c>
      <c r="D47" s="114">
        <f>(+'Auszahlung Erzeuger'!D42*'Auszahlung Erzeuger'!$D$92/'Auszahlung Erzeuger'!$D$93)+$D$22</f>
        <v>7.9408163265306131</v>
      </c>
      <c r="E47" s="114">
        <f>(+'Auszahlung Erzeuger'!E42*'Auszahlung Erzeuger'!$E$92/'Auszahlung Erzeuger'!$E$93)+$E$22</f>
        <v>7.9408163265306131</v>
      </c>
      <c r="F47" s="114">
        <f>(+'Auszahlung Erzeuger'!F42*'Auszahlung Erzeuger'!$F$92/'Auszahlung Erzeuger'!$F$93)+$F$22</f>
        <v>7.0224489795918368</v>
      </c>
      <c r="G47" s="114">
        <f>(+'Auszahlung Erzeuger'!G42*'Auszahlung Erzeuger'!$G$92/'Auszahlung Erzeuger'!$G$93)+$H$22</f>
        <v>7.5326530612244893</v>
      </c>
      <c r="H47" s="114">
        <f>(+'Auszahlung Erzeuger'!H42*'Auszahlung Erzeuger'!$G$92/'Auszahlung Erzeuger'!$G$93)+$H$22</f>
        <v>7.3285714285714283</v>
      </c>
    </row>
    <row r="48" spans="2:8" ht="13.5" thickBot="1" x14ac:dyDescent="0.25">
      <c r="B48" s="29" t="s">
        <v>15</v>
      </c>
      <c r="C48" s="115">
        <f>(+'Auszahlung Erzeuger'!C43*'Auszahlung Erzeuger'!$C$92/'Auszahlung Erzeuger'!$C$93)+$C$22</f>
        <v>6.4102040816326538</v>
      </c>
      <c r="D48" s="115">
        <f>(+'Auszahlung Erzeuger'!D43*'Auszahlung Erzeuger'!$D$92/'Auszahlung Erzeuger'!$D$93)+$D$22</f>
        <v>6.4102040816326546</v>
      </c>
      <c r="E48" s="115">
        <f>(+'Auszahlung Erzeuger'!E43*'Auszahlung Erzeuger'!$E$92/'Auszahlung Erzeuger'!$E$93)+$E$22</f>
        <v>6.4102040816326546</v>
      </c>
      <c r="F48" s="115">
        <f>(+'Auszahlung Erzeuger'!F43*'Auszahlung Erzeuger'!$F$92/'Auszahlung Erzeuger'!$F$93)+$F$22</f>
        <v>6.4102040816326538</v>
      </c>
      <c r="G48" s="115">
        <f>(+'Auszahlung Erzeuger'!G43*'Auszahlung Erzeuger'!$G$92/'Auszahlung Erzeuger'!$G$93)+$H$22</f>
        <v>6.4102040816326546</v>
      </c>
      <c r="H48" s="115">
        <f>(+'Auszahlung Erzeuger'!H43*'Auszahlung Erzeuger'!$G$92/'Auszahlung Erzeuger'!$G$93)+$H$22</f>
        <v>6.4102040816326546</v>
      </c>
    </row>
    <row r="49" spans="2:8" x14ac:dyDescent="0.2">
      <c r="B49" s="10"/>
      <c r="C49" s="258" t="s">
        <v>45</v>
      </c>
      <c r="D49" s="259"/>
      <c r="E49" s="259"/>
      <c r="F49" s="259"/>
      <c r="G49" s="259"/>
      <c r="H49" s="260"/>
    </row>
    <row r="50" spans="2:8" ht="13.5" thickBot="1" x14ac:dyDescent="0.25">
      <c r="B50" s="3" t="s">
        <v>11</v>
      </c>
      <c r="C50" s="255" t="s">
        <v>81</v>
      </c>
      <c r="D50" s="256"/>
      <c r="E50" s="256"/>
      <c r="F50" s="256"/>
      <c r="G50" s="256"/>
      <c r="H50" s="257"/>
    </row>
    <row r="51" spans="2:8" ht="21" thickBot="1" x14ac:dyDescent="0.35">
      <c r="B51" s="8"/>
      <c r="C51" s="52"/>
      <c r="D51" s="52"/>
      <c r="E51" s="52"/>
      <c r="F51" s="52"/>
    </row>
    <row r="52" spans="2:8" ht="12.75" customHeight="1" x14ac:dyDescent="0.2">
      <c r="B52" s="249" t="s">
        <v>22</v>
      </c>
      <c r="C52" s="250"/>
      <c r="D52" s="251"/>
      <c r="E52" s="81" t="s">
        <v>43</v>
      </c>
      <c r="F52" s="72" t="s">
        <v>43</v>
      </c>
    </row>
    <row r="53" spans="2:8" x14ac:dyDescent="0.2">
      <c r="B53" s="252"/>
      <c r="C53" s="253"/>
      <c r="D53" s="254"/>
      <c r="E53" s="82"/>
      <c r="F53" s="103"/>
      <c r="G53" s="103"/>
    </row>
    <row r="54" spans="2:8" x14ac:dyDescent="0.2">
      <c r="B54" s="17" t="s">
        <v>87</v>
      </c>
      <c r="C54" s="54"/>
      <c r="D54" s="79" t="s">
        <v>56</v>
      </c>
      <c r="E54" s="55"/>
    </row>
    <row r="55" spans="2:8" x14ac:dyDescent="0.2">
      <c r="B55" s="17" t="s">
        <v>60</v>
      </c>
      <c r="C55" s="54"/>
      <c r="D55" s="136">
        <v>-0.1</v>
      </c>
      <c r="E55" s="56"/>
    </row>
    <row r="56" spans="2:8" x14ac:dyDescent="0.2">
      <c r="B56" s="17" t="s">
        <v>91</v>
      </c>
      <c r="C56" s="54"/>
      <c r="D56" s="78"/>
      <c r="E56" s="56"/>
    </row>
    <row r="57" spans="2:8" x14ac:dyDescent="0.2">
      <c r="B57" s="17"/>
      <c r="C57" s="54"/>
      <c r="D57" s="78"/>
      <c r="E57" s="56"/>
    </row>
    <row r="58" spans="2:8" x14ac:dyDescent="0.2">
      <c r="B58" s="17" t="s">
        <v>88</v>
      </c>
      <c r="C58" s="54"/>
      <c r="D58" s="79" t="s">
        <v>56</v>
      </c>
      <c r="E58" s="55"/>
    </row>
    <row r="59" spans="2:8" x14ac:dyDescent="0.2">
      <c r="B59" s="17" t="s">
        <v>89</v>
      </c>
      <c r="C59" s="54"/>
      <c r="D59" s="136">
        <v>-0.1</v>
      </c>
      <c r="E59" s="56"/>
    </row>
    <row r="60" spans="2:8" ht="16.5" thickBot="1" x14ac:dyDescent="0.25">
      <c r="B60" s="11"/>
      <c r="C60" s="57"/>
      <c r="D60" s="80"/>
      <c r="E60" s="138"/>
      <c r="F60" s="104"/>
    </row>
    <row r="61" spans="2:8" x14ac:dyDescent="0.2">
      <c r="B61" s="9"/>
      <c r="C61" s="58"/>
      <c r="D61" s="59"/>
      <c r="H61" s="105"/>
    </row>
    <row r="65" ht="16.5" customHeight="1" x14ac:dyDescent="0.2"/>
  </sheetData>
  <mergeCells count="7">
    <mergeCell ref="B52:D53"/>
    <mergeCell ref="C29:H29"/>
    <mergeCell ref="C34:H34"/>
    <mergeCell ref="C39:H39"/>
    <mergeCell ref="C44:H44"/>
    <mergeCell ref="C49:H49"/>
    <mergeCell ref="C50:H50"/>
  </mergeCells>
  <hyperlinks>
    <hyperlink ref="B6" r:id="rId1" xr:uid="{00000000-0004-0000-0100-000000000000}"/>
  </hyperlinks>
  <pageMargins left="0.35433070866141736" right="0.15748031496062992" top="0.19685039370078741" bottom="0.35433070866141736" header="0.19685039370078741" footer="0.23622047244094491"/>
  <pageSetup paperSize="9" scale="88" orientation="portrait" horizontalDpi="4294967293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40"/>
  <sheetViews>
    <sheetView topLeftCell="A86" workbookViewId="0">
      <selection activeCell="F76" sqref="F76"/>
    </sheetView>
  </sheetViews>
  <sheetFormatPr baseColWidth="10" defaultRowHeight="12.75" x14ac:dyDescent="0.2"/>
  <cols>
    <col min="1" max="1" width="32" customWidth="1"/>
    <col min="2" max="2" width="39.85546875" customWidth="1"/>
    <col min="4" max="4" width="15.7109375" customWidth="1"/>
    <col min="6" max="6" width="14" customWidth="1"/>
    <col min="7" max="7" width="14.140625" customWidth="1"/>
    <col min="8" max="8" width="14.5703125" customWidth="1"/>
    <col min="9" max="9" width="11.85546875" bestFit="1" customWidth="1"/>
    <col min="10" max="10" width="12.85546875" bestFit="1" customWidth="1"/>
  </cols>
  <sheetData>
    <row r="2" spans="1:10" ht="18" x14ac:dyDescent="0.25">
      <c r="A2" s="7"/>
      <c r="B2" s="7" t="s">
        <v>179</v>
      </c>
      <c r="E2" s="9"/>
    </row>
    <row r="4" spans="1:10" ht="25.5" x14ac:dyDescent="0.2">
      <c r="A4" s="151"/>
      <c r="B4" s="152" t="s">
        <v>113</v>
      </c>
      <c r="C4" s="153" t="s">
        <v>114</v>
      </c>
      <c r="D4" s="153" t="s">
        <v>115</v>
      </c>
      <c r="E4" s="153" t="s">
        <v>26</v>
      </c>
      <c r="F4" s="153" t="s">
        <v>116</v>
      </c>
      <c r="G4" s="153" t="s">
        <v>117</v>
      </c>
      <c r="I4" s="151"/>
      <c r="J4" s="153" t="s">
        <v>180</v>
      </c>
    </row>
    <row r="5" spans="1:10" x14ac:dyDescent="0.2">
      <c r="A5" s="54" t="s">
        <v>118</v>
      </c>
      <c r="B5" s="154" t="s">
        <v>119</v>
      </c>
      <c r="C5" s="155">
        <v>275.10000000000002</v>
      </c>
      <c r="D5" s="156" t="s">
        <v>120</v>
      </c>
      <c r="E5" s="157" t="s">
        <v>36</v>
      </c>
      <c r="F5" s="158">
        <f>+'Auszahlung Erzeuger'!C31</f>
        <v>7.1</v>
      </c>
      <c r="G5" s="159">
        <f>+F5*C5</f>
        <v>1953.21</v>
      </c>
      <c r="H5" s="160"/>
      <c r="I5" s="244">
        <v>7.6</v>
      </c>
      <c r="J5" s="244">
        <f t="shared" ref="J5:J68" si="0">+I5*(C5*0.975)</f>
        <v>2038.491</v>
      </c>
    </row>
    <row r="6" spans="1:10" x14ac:dyDescent="0.2">
      <c r="A6" s="54" t="s">
        <v>118</v>
      </c>
      <c r="B6" s="154" t="s">
        <v>119</v>
      </c>
      <c r="C6" s="155">
        <v>342.7</v>
      </c>
      <c r="D6" s="156" t="s">
        <v>120</v>
      </c>
      <c r="E6" s="157" t="s">
        <v>37</v>
      </c>
      <c r="F6" s="158">
        <f>+'Auszahlung Erzeuger'!C30</f>
        <v>7.2</v>
      </c>
      <c r="G6" s="159">
        <f t="shared" ref="G6:G72" si="1">+F6*C6</f>
        <v>2467.44</v>
      </c>
      <c r="H6" s="160"/>
      <c r="I6" s="244">
        <v>7.6</v>
      </c>
      <c r="J6" s="244">
        <f t="shared" si="0"/>
        <v>2539.4069999999997</v>
      </c>
    </row>
    <row r="7" spans="1:10" x14ac:dyDescent="0.2">
      <c r="A7" s="54" t="s">
        <v>118</v>
      </c>
      <c r="B7" s="154" t="s">
        <v>119</v>
      </c>
      <c r="C7" s="155">
        <v>378.9</v>
      </c>
      <c r="D7" s="156" t="s">
        <v>120</v>
      </c>
      <c r="E7" s="157" t="s">
        <v>37</v>
      </c>
      <c r="F7" s="158">
        <f>+'Auszahlung Erzeuger'!C30</f>
        <v>7.2</v>
      </c>
      <c r="G7" s="159">
        <f t="shared" si="1"/>
        <v>2728.08</v>
      </c>
      <c r="H7" s="160"/>
      <c r="I7" s="244">
        <v>7.6</v>
      </c>
      <c r="J7" s="244">
        <f t="shared" si="0"/>
        <v>2807.6489999999994</v>
      </c>
    </row>
    <row r="8" spans="1:10" x14ac:dyDescent="0.2">
      <c r="A8" s="54" t="s">
        <v>118</v>
      </c>
      <c r="B8" s="154" t="s">
        <v>119</v>
      </c>
      <c r="C8" s="155">
        <v>387.5</v>
      </c>
      <c r="D8" s="156" t="s">
        <v>120</v>
      </c>
      <c r="E8" s="157" t="s">
        <v>37</v>
      </c>
      <c r="F8" s="158">
        <f>+'Auszahlung Erzeuger'!C30</f>
        <v>7.2</v>
      </c>
      <c r="G8" s="159">
        <f t="shared" si="1"/>
        <v>2790</v>
      </c>
      <c r="I8" s="183">
        <v>7.65</v>
      </c>
      <c r="J8" s="244">
        <f t="shared" si="0"/>
        <v>2890.265625</v>
      </c>
    </row>
    <row r="9" spans="1:10" x14ac:dyDescent="0.2">
      <c r="A9" s="54" t="s">
        <v>118</v>
      </c>
      <c r="B9" s="154" t="s">
        <v>119</v>
      </c>
      <c r="C9" s="155">
        <v>376.3</v>
      </c>
      <c r="D9" s="156" t="s">
        <v>121</v>
      </c>
      <c r="E9" s="157" t="s">
        <v>37</v>
      </c>
      <c r="F9" s="158">
        <f>+'Auszahlung Erzeuger'!$F$30</f>
        <v>6.35</v>
      </c>
      <c r="G9" s="159">
        <f t="shared" si="1"/>
        <v>2389.5050000000001</v>
      </c>
      <c r="I9" s="183">
        <v>7.65</v>
      </c>
      <c r="J9" s="244">
        <f t="shared" si="0"/>
        <v>2806.727625</v>
      </c>
    </row>
    <row r="10" spans="1:10" x14ac:dyDescent="0.2">
      <c r="A10" s="54" t="s">
        <v>118</v>
      </c>
      <c r="B10" s="154" t="s">
        <v>119</v>
      </c>
      <c r="C10" s="155">
        <v>400.1</v>
      </c>
      <c r="D10" s="156" t="s">
        <v>121</v>
      </c>
      <c r="E10" s="157" t="s">
        <v>37</v>
      </c>
      <c r="F10" s="158">
        <f>+'Auszahlung Erzeuger'!$F$30</f>
        <v>6.35</v>
      </c>
      <c r="G10" s="159">
        <f t="shared" si="1"/>
        <v>2540.6350000000002</v>
      </c>
      <c r="I10" s="183">
        <v>7.65</v>
      </c>
      <c r="J10" s="244">
        <f t="shared" si="0"/>
        <v>2984.2458750000005</v>
      </c>
    </row>
    <row r="11" spans="1:10" x14ac:dyDescent="0.2">
      <c r="A11" s="54" t="s">
        <v>118</v>
      </c>
      <c r="B11" s="154" t="s">
        <v>119</v>
      </c>
      <c r="C11" s="155">
        <v>264.89999999999998</v>
      </c>
      <c r="D11" s="156" t="s">
        <v>121</v>
      </c>
      <c r="E11" s="157" t="s">
        <v>36</v>
      </c>
      <c r="F11" s="158">
        <f>+'Auszahlung Erzeuger'!$F$31</f>
        <v>6.3</v>
      </c>
      <c r="G11" s="159">
        <f t="shared" si="1"/>
        <v>1668.87</v>
      </c>
      <c r="I11" s="183">
        <v>7.55</v>
      </c>
      <c r="J11" s="244">
        <f t="shared" si="0"/>
        <v>1949.9951249999997</v>
      </c>
    </row>
    <row r="12" spans="1:10" x14ac:dyDescent="0.2">
      <c r="A12" s="54" t="s">
        <v>118</v>
      </c>
      <c r="B12" s="154" t="s">
        <v>119</v>
      </c>
      <c r="C12" s="155">
        <v>366.9</v>
      </c>
      <c r="D12" s="156" t="s">
        <v>121</v>
      </c>
      <c r="E12" s="157" t="s">
        <v>36</v>
      </c>
      <c r="F12" s="158">
        <f>+'Auszahlung Erzeuger'!$F$31</f>
        <v>6.3</v>
      </c>
      <c r="G12" s="159">
        <f t="shared" si="1"/>
        <v>2311.4699999999998</v>
      </c>
      <c r="H12" s="160"/>
      <c r="I12" s="183">
        <v>7.55</v>
      </c>
      <c r="J12" s="244">
        <f t="shared" si="0"/>
        <v>2700.8426249999998</v>
      </c>
    </row>
    <row r="13" spans="1:10" x14ac:dyDescent="0.2">
      <c r="A13" s="54" t="s">
        <v>118</v>
      </c>
      <c r="B13" s="154" t="s">
        <v>119</v>
      </c>
      <c r="C13" s="155">
        <v>341.7</v>
      </c>
      <c r="D13" s="156" t="s">
        <v>121</v>
      </c>
      <c r="E13" s="157" t="s">
        <v>122</v>
      </c>
      <c r="F13" s="158">
        <f>+'Auszahlung Erzeuger'!$F$26</f>
        <v>6.2</v>
      </c>
      <c r="G13" s="159">
        <f t="shared" si="1"/>
        <v>2118.54</v>
      </c>
      <c r="H13" s="160"/>
      <c r="I13" s="183">
        <v>7.55</v>
      </c>
      <c r="J13" s="244">
        <f t="shared" si="0"/>
        <v>2515.3391249999995</v>
      </c>
    </row>
    <row r="14" spans="1:10" x14ac:dyDescent="0.2">
      <c r="A14" s="54" t="s">
        <v>118</v>
      </c>
      <c r="B14" s="154" t="s">
        <v>119</v>
      </c>
      <c r="C14" s="155">
        <v>376.7</v>
      </c>
      <c r="D14" s="156" t="s">
        <v>121</v>
      </c>
      <c r="E14" s="157" t="s">
        <v>34</v>
      </c>
      <c r="F14" s="158">
        <f>+'Auszahlung Erzeuger'!$F$37</f>
        <v>6.1499999999999995</v>
      </c>
      <c r="G14" s="159">
        <f t="shared" si="1"/>
        <v>2316.7049999999999</v>
      </c>
      <c r="I14" s="183">
        <v>7.45</v>
      </c>
      <c r="J14" s="244">
        <f t="shared" si="0"/>
        <v>2736.254625</v>
      </c>
    </row>
    <row r="15" spans="1:10" x14ac:dyDescent="0.2">
      <c r="A15" s="54" t="s">
        <v>118</v>
      </c>
      <c r="B15" s="154" t="s">
        <v>119</v>
      </c>
      <c r="C15" s="155">
        <v>367.9</v>
      </c>
      <c r="D15" s="156" t="s">
        <v>121</v>
      </c>
      <c r="E15" s="157" t="s">
        <v>36</v>
      </c>
      <c r="F15" s="158">
        <f>+'Auszahlung Erzeuger'!$F$31</f>
        <v>6.3</v>
      </c>
      <c r="G15" s="159">
        <f t="shared" si="1"/>
        <v>2317.77</v>
      </c>
      <c r="I15" s="183">
        <v>7.55</v>
      </c>
      <c r="J15" s="244">
        <f t="shared" si="0"/>
        <v>2708.2038749999997</v>
      </c>
    </row>
    <row r="16" spans="1:10" x14ac:dyDescent="0.2">
      <c r="A16" s="54" t="s">
        <v>118</v>
      </c>
      <c r="B16" s="154" t="s">
        <v>119</v>
      </c>
      <c r="C16" s="155">
        <v>335.1</v>
      </c>
      <c r="D16" s="156" t="s">
        <v>121</v>
      </c>
      <c r="E16" s="157" t="s">
        <v>122</v>
      </c>
      <c r="F16" s="158">
        <f>+'Auszahlung Erzeuger'!$F$26</f>
        <v>6.2</v>
      </c>
      <c r="G16" s="159">
        <f t="shared" si="1"/>
        <v>2077.6200000000003</v>
      </c>
      <c r="H16" s="160"/>
      <c r="I16" s="183">
        <v>7.55</v>
      </c>
      <c r="J16" s="244">
        <f t="shared" si="0"/>
        <v>2466.7548750000001</v>
      </c>
    </row>
    <row r="17" spans="1:10" x14ac:dyDescent="0.2">
      <c r="A17" s="54" t="s">
        <v>118</v>
      </c>
      <c r="B17" s="154" t="s">
        <v>119</v>
      </c>
      <c r="C17" s="155">
        <v>334.3</v>
      </c>
      <c r="D17" s="156" t="s">
        <v>121</v>
      </c>
      <c r="E17" s="157" t="s">
        <v>36</v>
      </c>
      <c r="F17" s="158">
        <f>+'Auszahlung Erzeuger'!$F$31</f>
        <v>6.3</v>
      </c>
      <c r="G17" s="159">
        <f t="shared" si="1"/>
        <v>2106.09</v>
      </c>
      <c r="H17" s="160"/>
      <c r="I17" s="183">
        <v>7.55</v>
      </c>
      <c r="J17" s="244">
        <f t="shared" si="0"/>
        <v>2460.865875</v>
      </c>
    </row>
    <row r="18" spans="1:10" x14ac:dyDescent="0.2">
      <c r="A18" s="54" t="s">
        <v>118</v>
      </c>
      <c r="B18" s="154" t="s">
        <v>119</v>
      </c>
      <c r="C18" s="155">
        <v>405.3</v>
      </c>
      <c r="D18" s="156" t="s">
        <v>121</v>
      </c>
      <c r="E18" s="157" t="s">
        <v>37</v>
      </c>
      <c r="F18" s="158">
        <f>+'Auszahlung Erzeuger'!$F$30</f>
        <v>6.35</v>
      </c>
      <c r="G18" s="159">
        <f t="shared" si="1"/>
        <v>2573.6549999999997</v>
      </c>
      <c r="H18" s="160"/>
      <c r="I18" s="183">
        <v>7.65</v>
      </c>
      <c r="J18" s="244">
        <f t="shared" si="0"/>
        <v>3023.0313750000005</v>
      </c>
    </row>
    <row r="19" spans="1:10" x14ac:dyDescent="0.2">
      <c r="A19" s="54" t="s">
        <v>118</v>
      </c>
      <c r="B19" s="154" t="s">
        <v>123</v>
      </c>
      <c r="C19" s="155">
        <v>263.89999999999998</v>
      </c>
      <c r="D19" s="156" t="s">
        <v>124</v>
      </c>
      <c r="E19" s="157" t="s">
        <v>17</v>
      </c>
      <c r="F19" s="158">
        <f>+'Auszahlung Erzeuger'!$D$32</f>
        <v>7</v>
      </c>
      <c r="G19" s="159">
        <f t="shared" si="1"/>
        <v>1847.2999999999997</v>
      </c>
      <c r="I19" s="183">
        <v>7.9</v>
      </c>
      <c r="J19" s="244">
        <f t="shared" si="0"/>
        <v>2032.6897499999998</v>
      </c>
    </row>
    <row r="20" spans="1:10" x14ac:dyDescent="0.2">
      <c r="A20" s="54" t="s">
        <v>118</v>
      </c>
      <c r="B20" s="154" t="s">
        <v>123</v>
      </c>
      <c r="C20" s="155">
        <v>330.9</v>
      </c>
      <c r="D20" s="156" t="s">
        <v>120</v>
      </c>
      <c r="E20" s="157" t="s">
        <v>17</v>
      </c>
      <c r="F20" s="158">
        <f>+'Auszahlung Erzeuger'!$C$31</f>
        <v>7.1</v>
      </c>
      <c r="G20" s="159">
        <f t="shared" si="1"/>
        <v>2349.39</v>
      </c>
      <c r="I20" s="183">
        <v>7.6</v>
      </c>
      <c r="J20" s="244">
        <f t="shared" si="0"/>
        <v>2451.9690000000001</v>
      </c>
    </row>
    <row r="21" spans="1:10" x14ac:dyDescent="0.2">
      <c r="A21" s="54" t="s">
        <v>118</v>
      </c>
      <c r="B21" s="154" t="s">
        <v>123</v>
      </c>
      <c r="C21" s="155">
        <v>282.5</v>
      </c>
      <c r="D21" s="156" t="s">
        <v>121</v>
      </c>
      <c r="E21" s="157" t="s">
        <v>17</v>
      </c>
      <c r="F21" s="158">
        <f>+'Auszahlung Erzeuger'!$F$32</f>
        <v>6.1</v>
      </c>
      <c r="G21" s="159">
        <f t="shared" si="1"/>
        <v>1723.25</v>
      </c>
      <c r="I21" s="183">
        <v>7.5</v>
      </c>
      <c r="J21" s="244">
        <f t="shared" si="0"/>
        <v>2065.78125</v>
      </c>
    </row>
    <row r="22" spans="1:10" x14ac:dyDescent="0.2">
      <c r="A22" s="54" t="s">
        <v>118</v>
      </c>
      <c r="B22" s="154" t="s">
        <v>123</v>
      </c>
      <c r="C22" s="155">
        <v>304.3</v>
      </c>
      <c r="D22" s="156" t="s">
        <v>120</v>
      </c>
      <c r="E22" s="157" t="s">
        <v>34</v>
      </c>
      <c r="F22" s="158">
        <f>+'Auszahlung Erzeuger'!$C$37</f>
        <v>7</v>
      </c>
      <c r="G22" s="159">
        <f t="shared" si="1"/>
        <v>2130.1</v>
      </c>
      <c r="I22" s="183">
        <v>7.6</v>
      </c>
      <c r="J22" s="244">
        <f t="shared" si="0"/>
        <v>2254.8629999999998</v>
      </c>
    </row>
    <row r="23" spans="1:10" x14ac:dyDescent="0.2">
      <c r="A23" s="54" t="s">
        <v>118</v>
      </c>
      <c r="B23" s="154" t="s">
        <v>123</v>
      </c>
      <c r="C23" s="155">
        <v>314.3</v>
      </c>
      <c r="D23" s="156" t="s">
        <v>120</v>
      </c>
      <c r="E23" s="157" t="s">
        <v>34</v>
      </c>
      <c r="F23" s="158">
        <f>+'Auszahlung Erzeuger'!$C$37</f>
        <v>7</v>
      </c>
      <c r="G23" s="159">
        <f t="shared" si="1"/>
        <v>2200.1</v>
      </c>
      <c r="I23" s="183">
        <v>7.6</v>
      </c>
      <c r="J23" s="244">
        <f t="shared" si="0"/>
        <v>2328.9629999999997</v>
      </c>
    </row>
    <row r="24" spans="1:10" x14ac:dyDescent="0.2">
      <c r="A24" s="54" t="s">
        <v>118</v>
      </c>
      <c r="B24" s="154" t="s">
        <v>123</v>
      </c>
      <c r="C24" s="154">
        <v>274.3</v>
      </c>
      <c r="D24" s="156" t="s">
        <v>120</v>
      </c>
      <c r="E24" s="157" t="s">
        <v>34</v>
      </c>
      <c r="F24" s="158">
        <f>+'Auszahlung Erzeuger'!$C$37</f>
        <v>7</v>
      </c>
      <c r="G24" s="159">
        <f t="shared" si="1"/>
        <v>1920.1000000000001</v>
      </c>
      <c r="I24" s="183">
        <v>7.6</v>
      </c>
      <c r="J24" s="244">
        <f t="shared" si="0"/>
        <v>2032.5629999999999</v>
      </c>
    </row>
    <row r="25" spans="1:10" x14ac:dyDescent="0.2">
      <c r="A25" s="54" t="s">
        <v>118</v>
      </c>
      <c r="B25" s="154" t="s">
        <v>123</v>
      </c>
      <c r="C25" s="154">
        <v>349.9</v>
      </c>
      <c r="D25" s="156" t="s">
        <v>120</v>
      </c>
      <c r="E25" s="157" t="s">
        <v>34</v>
      </c>
      <c r="F25" s="158">
        <f>+'Auszahlung Erzeuger'!$C$37</f>
        <v>7</v>
      </c>
      <c r="G25" s="159">
        <f t="shared" si="1"/>
        <v>2449.2999999999997</v>
      </c>
      <c r="I25" s="183">
        <v>7.6</v>
      </c>
      <c r="J25" s="244">
        <f t="shared" si="0"/>
        <v>2592.7589999999996</v>
      </c>
    </row>
    <row r="26" spans="1:10" x14ac:dyDescent="0.2">
      <c r="A26" s="54" t="s">
        <v>118</v>
      </c>
      <c r="B26" s="154" t="s">
        <v>123</v>
      </c>
      <c r="C26" s="154">
        <v>330.9</v>
      </c>
      <c r="D26" s="156" t="s">
        <v>120</v>
      </c>
      <c r="E26" s="157" t="s">
        <v>34</v>
      </c>
      <c r="F26" s="158">
        <f>+'Auszahlung Erzeuger'!$C$37</f>
        <v>7</v>
      </c>
      <c r="G26" s="159">
        <f t="shared" si="1"/>
        <v>2316.2999999999997</v>
      </c>
      <c r="I26" s="183">
        <v>7.6</v>
      </c>
      <c r="J26" s="244">
        <f t="shared" si="0"/>
        <v>2451.9690000000001</v>
      </c>
    </row>
    <row r="27" spans="1:10" x14ac:dyDescent="0.2">
      <c r="A27" s="54" t="s">
        <v>118</v>
      </c>
      <c r="B27" s="154" t="s">
        <v>123</v>
      </c>
      <c r="C27" s="155">
        <v>331.9</v>
      </c>
      <c r="D27" s="156" t="s">
        <v>121</v>
      </c>
      <c r="E27" s="157" t="s">
        <v>17</v>
      </c>
      <c r="F27" s="158">
        <f>+'Auszahlung Erzeuger'!$F$32</f>
        <v>6.1</v>
      </c>
      <c r="G27" s="159">
        <f t="shared" si="1"/>
        <v>2024.5899999999997</v>
      </c>
      <c r="I27" s="183">
        <v>7.45</v>
      </c>
      <c r="J27" s="244">
        <f t="shared" si="0"/>
        <v>2410.8386249999999</v>
      </c>
    </row>
    <row r="28" spans="1:10" x14ac:dyDescent="0.2">
      <c r="A28" s="54" t="s">
        <v>118</v>
      </c>
      <c r="B28" s="154" t="s">
        <v>123</v>
      </c>
      <c r="C28" s="155">
        <v>363.9</v>
      </c>
      <c r="D28" s="156" t="s">
        <v>124</v>
      </c>
      <c r="E28" s="157" t="s">
        <v>34</v>
      </c>
      <c r="F28" s="158">
        <f>+'Auszahlung Erzeuger'!$F$37</f>
        <v>6.1499999999999995</v>
      </c>
      <c r="G28" s="159">
        <f t="shared" si="1"/>
        <v>2237.9849999999997</v>
      </c>
      <c r="I28" s="183">
        <v>7.45</v>
      </c>
      <c r="J28" s="244">
        <f t="shared" si="0"/>
        <v>2643.2786249999999</v>
      </c>
    </row>
    <row r="29" spans="1:10" x14ac:dyDescent="0.2">
      <c r="A29" s="54" t="s">
        <v>125</v>
      </c>
      <c r="B29" s="154" t="s">
        <v>126</v>
      </c>
      <c r="C29" s="155">
        <v>373.6</v>
      </c>
      <c r="D29" s="156" t="s">
        <v>121</v>
      </c>
      <c r="E29" s="157" t="s">
        <v>36</v>
      </c>
      <c r="F29" s="158">
        <f>+'Auszahlung Erzeuger'!$F$31</f>
        <v>6.3</v>
      </c>
      <c r="G29" s="159">
        <f t="shared" si="1"/>
        <v>2353.6800000000003</v>
      </c>
      <c r="I29" s="183">
        <v>7.55</v>
      </c>
      <c r="J29" s="244">
        <f t="shared" si="0"/>
        <v>2750.163</v>
      </c>
    </row>
    <row r="30" spans="1:10" x14ac:dyDescent="0.2">
      <c r="A30" s="54" t="s">
        <v>125</v>
      </c>
      <c r="B30" s="154" t="s">
        <v>126</v>
      </c>
      <c r="C30" s="155">
        <v>366.4</v>
      </c>
      <c r="D30" s="156" t="s">
        <v>121</v>
      </c>
      <c r="E30" s="157" t="s">
        <v>34</v>
      </c>
      <c r="F30" s="158">
        <f>+'Auszahlung Erzeuger'!$F$37</f>
        <v>6.1499999999999995</v>
      </c>
      <c r="G30" s="159">
        <f t="shared" si="1"/>
        <v>2253.3599999999997</v>
      </c>
      <c r="I30" s="183">
        <v>7.45</v>
      </c>
      <c r="J30" s="244">
        <f t="shared" si="0"/>
        <v>2661.4379999999996</v>
      </c>
    </row>
    <row r="31" spans="1:10" x14ac:dyDescent="0.2">
      <c r="A31" s="54" t="s">
        <v>125</v>
      </c>
      <c r="B31" s="154" t="s">
        <v>126</v>
      </c>
      <c r="C31" s="155">
        <v>376.8</v>
      </c>
      <c r="D31" s="156" t="s">
        <v>121</v>
      </c>
      <c r="E31" s="157" t="s">
        <v>19</v>
      </c>
      <c r="F31" s="158">
        <f>+'Auszahlung Erzeuger'!$F$36</f>
        <v>6.35</v>
      </c>
      <c r="G31" s="159">
        <f t="shared" si="1"/>
        <v>2392.6799999999998</v>
      </c>
      <c r="I31" s="183">
        <v>7.45</v>
      </c>
      <c r="J31" s="244">
        <f t="shared" si="0"/>
        <v>2736.9810000000002</v>
      </c>
    </row>
    <row r="32" spans="1:10" x14ac:dyDescent="0.2">
      <c r="A32" s="54" t="s">
        <v>125</v>
      </c>
      <c r="B32" s="154" t="s">
        <v>127</v>
      </c>
      <c r="C32" s="155">
        <v>354.4</v>
      </c>
      <c r="D32" s="156" t="s">
        <v>121</v>
      </c>
      <c r="E32" s="157" t="s">
        <v>17</v>
      </c>
      <c r="F32" s="158">
        <f>+'Auszahlung Erzeuger'!$F$32</f>
        <v>6.1</v>
      </c>
      <c r="G32" s="159">
        <f t="shared" si="1"/>
        <v>2161.8399999999997</v>
      </c>
      <c r="I32" s="183">
        <v>7.45</v>
      </c>
      <c r="J32" s="244">
        <f t="shared" si="0"/>
        <v>2574.2729999999997</v>
      </c>
    </row>
    <row r="33" spans="1:10" x14ac:dyDescent="0.2">
      <c r="A33" s="54" t="s">
        <v>125</v>
      </c>
      <c r="B33" s="154" t="s">
        <v>127</v>
      </c>
      <c r="C33" s="155">
        <v>297.8</v>
      </c>
      <c r="D33" s="156" t="s">
        <v>121</v>
      </c>
      <c r="E33" s="157" t="s">
        <v>34</v>
      </c>
      <c r="F33" s="158">
        <f>+'Auszahlung Erzeuger'!$F$37</f>
        <v>6.1499999999999995</v>
      </c>
      <c r="G33" s="159">
        <f t="shared" si="1"/>
        <v>1831.4699999999998</v>
      </c>
      <c r="I33" s="183">
        <v>7.45</v>
      </c>
      <c r="J33" s="244">
        <f t="shared" si="0"/>
        <v>2163.1447500000004</v>
      </c>
    </row>
    <row r="34" spans="1:10" x14ac:dyDescent="0.2">
      <c r="A34" s="54" t="s">
        <v>125</v>
      </c>
      <c r="B34" s="154" t="s">
        <v>127</v>
      </c>
      <c r="C34" s="155">
        <v>347</v>
      </c>
      <c r="D34" s="156" t="s">
        <v>121</v>
      </c>
      <c r="E34" s="157" t="s">
        <v>34</v>
      </c>
      <c r="F34" s="158">
        <f>+'Auszahlung Erzeuger'!$F$37</f>
        <v>6.1499999999999995</v>
      </c>
      <c r="G34" s="159">
        <f t="shared" si="1"/>
        <v>2134.0499999999997</v>
      </c>
      <c r="I34" s="183">
        <v>7.45</v>
      </c>
      <c r="J34" s="244">
        <f t="shared" si="0"/>
        <v>2520.5212499999998</v>
      </c>
    </row>
    <row r="35" spans="1:10" x14ac:dyDescent="0.2">
      <c r="A35" s="54" t="s">
        <v>128</v>
      </c>
      <c r="B35" s="154" t="s">
        <v>129</v>
      </c>
      <c r="C35" s="155">
        <v>347</v>
      </c>
      <c r="D35" s="156" t="s">
        <v>121</v>
      </c>
      <c r="E35" s="157" t="s">
        <v>34</v>
      </c>
      <c r="F35" s="158">
        <f>+'Auszahlung Erzeuger'!$F$37</f>
        <v>6.1499999999999995</v>
      </c>
      <c r="G35" s="159">
        <f t="shared" si="1"/>
        <v>2134.0499999999997</v>
      </c>
      <c r="I35" s="183">
        <v>7.45</v>
      </c>
      <c r="J35" s="244">
        <f t="shared" si="0"/>
        <v>2520.5212499999998</v>
      </c>
    </row>
    <row r="36" spans="1:10" x14ac:dyDescent="0.2">
      <c r="A36" s="54" t="s">
        <v>128</v>
      </c>
      <c r="B36" s="154" t="s">
        <v>129</v>
      </c>
      <c r="C36" s="155">
        <v>379.4</v>
      </c>
      <c r="D36" s="156" t="s">
        <v>121</v>
      </c>
      <c r="E36" s="157" t="s">
        <v>34</v>
      </c>
      <c r="F36" s="158">
        <f>+'Auszahlung Erzeuger'!$F$37</f>
        <v>6.1499999999999995</v>
      </c>
      <c r="G36" s="159">
        <f t="shared" si="1"/>
        <v>2333.3099999999995</v>
      </c>
      <c r="I36" s="183">
        <v>7.45</v>
      </c>
      <c r="J36" s="244">
        <f t="shared" si="0"/>
        <v>2755.8667499999997</v>
      </c>
    </row>
    <row r="37" spans="1:10" x14ac:dyDescent="0.2">
      <c r="A37" s="54" t="s">
        <v>128</v>
      </c>
      <c r="B37" s="154" t="s">
        <v>130</v>
      </c>
      <c r="C37" s="155">
        <v>434.8</v>
      </c>
      <c r="D37" s="156" t="s">
        <v>131</v>
      </c>
      <c r="E37" s="157" t="s">
        <v>37</v>
      </c>
      <c r="F37" s="158">
        <f>+'Auszahlung Erzeuger'!$D$30</f>
        <v>7.35</v>
      </c>
      <c r="G37" s="159">
        <f t="shared" si="1"/>
        <v>3195.7799999999997</v>
      </c>
      <c r="I37" s="183">
        <v>7.9</v>
      </c>
      <c r="J37" s="244">
        <f t="shared" si="0"/>
        <v>3349.047</v>
      </c>
    </row>
    <row r="38" spans="1:10" x14ac:dyDescent="0.2">
      <c r="A38" s="54" t="s">
        <v>128</v>
      </c>
      <c r="B38" s="154" t="s">
        <v>130</v>
      </c>
      <c r="C38" s="155">
        <v>396.8</v>
      </c>
      <c r="D38" s="156" t="s">
        <v>131</v>
      </c>
      <c r="E38" s="157" t="s">
        <v>37</v>
      </c>
      <c r="F38" s="158">
        <f>+'Auszahlung Erzeuger'!$D$30</f>
        <v>7.35</v>
      </c>
      <c r="G38" s="159">
        <f t="shared" si="1"/>
        <v>2916.48</v>
      </c>
      <c r="I38" s="183">
        <v>7.9</v>
      </c>
      <c r="J38" s="244">
        <f t="shared" si="0"/>
        <v>3056.3520000000003</v>
      </c>
    </row>
    <row r="39" spans="1:10" x14ac:dyDescent="0.2">
      <c r="A39" s="54" t="s">
        <v>128</v>
      </c>
      <c r="B39" s="154" t="s">
        <v>130</v>
      </c>
      <c r="C39" s="155">
        <v>411</v>
      </c>
      <c r="D39" s="156" t="s">
        <v>131</v>
      </c>
      <c r="E39" s="157" t="s">
        <v>36</v>
      </c>
      <c r="F39" s="158">
        <f>+'Auszahlung Erzeuger'!$D$31</f>
        <v>7.25</v>
      </c>
      <c r="G39" s="159">
        <f t="shared" si="1"/>
        <v>2979.75</v>
      </c>
      <c r="I39" s="183">
        <v>7.9</v>
      </c>
      <c r="J39" s="244">
        <f t="shared" si="0"/>
        <v>3165.7275</v>
      </c>
    </row>
    <row r="40" spans="1:10" x14ac:dyDescent="0.2">
      <c r="A40" s="54" t="s">
        <v>128</v>
      </c>
      <c r="B40" s="154" t="s">
        <v>130</v>
      </c>
      <c r="C40" s="155">
        <v>466.6</v>
      </c>
      <c r="D40" s="156" t="s">
        <v>131</v>
      </c>
      <c r="E40" s="157" t="s">
        <v>36</v>
      </c>
      <c r="F40" s="158">
        <f>+'Auszahlung Erzeuger'!$D$31</f>
        <v>7.25</v>
      </c>
      <c r="G40" s="159">
        <f t="shared" si="1"/>
        <v>3382.8500000000004</v>
      </c>
      <c r="I40" s="183">
        <v>7.9</v>
      </c>
      <c r="J40" s="244">
        <f t="shared" si="0"/>
        <v>3593.9865</v>
      </c>
    </row>
    <row r="41" spans="1:10" x14ac:dyDescent="0.2">
      <c r="A41" s="54" t="s">
        <v>128</v>
      </c>
      <c r="B41" s="154" t="s">
        <v>130</v>
      </c>
      <c r="C41" s="155">
        <v>501.2</v>
      </c>
      <c r="D41" s="156" t="s">
        <v>131</v>
      </c>
      <c r="E41" s="157" t="s">
        <v>36</v>
      </c>
      <c r="F41" s="158">
        <f>+'Auszahlung Erzeuger'!$D$31</f>
        <v>7.25</v>
      </c>
      <c r="G41" s="159">
        <f t="shared" si="1"/>
        <v>3633.7</v>
      </c>
      <c r="I41" s="183">
        <v>7.9</v>
      </c>
      <c r="J41" s="244">
        <f t="shared" si="0"/>
        <v>3860.4929999999999</v>
      </c>
    </row>
    <row r="42" spans="1:10" x14ac:dyDescent="0.2">
      <c r="A42" s="54" t="s">
        <v>132</v>
      </c>
      <c r="B42" s="154" t="s">
        <v>133</v>
      </c>
      <c r="C42" s="155">
        <v>319.2</v>
      </c>
      <c r="D42" s="156" t="s">
        <v>121</v>
      </c>
      <c r="E42" s="157" t="s">
        <v>17</v>
      </c>
      <c r="F42" s="158">
        <f>+'Auszahlung Erzeuger'!$F$32</f>
        <v>6.1</v>
      </c>
      <c r="G42" s="159">
        <f t="shared" si="1"/>
        <v>1947.12</v>
      </c>
      <c r="I42" s="183">
        <v>7.45</v>
      </c>
      <c r="J42" s="244">
        <f t="shared" si="0"/>
        <v>2318.5889999999999</v>
      </c>
    </row>
    <row r="43" spans="1:10" x14ac:dyDescent="0.2">
      <c r="A43" s="54" t="s">
        <v>132</v>
      </c>
      <c r="B43" s="154" t="s">
        <v>133</v>
      </c>
      <c r="C43" s="155">
        <v>310.60000000000002</v>
      </c>
      <c r="D43" s="156" t="s">
        <v>121</v>
      </c>
      <c r="E43" s="157" t="s">
        <v>17</v>
      </c>
      <c r="F43" s="158">
        <f>+'Auszahlung Erzeuger'!$F$32</f>
        <v>6.1</v>
      </c>
      <c r="G43" s="159">
        <f t="shared" si="1"/>
        <v>1894.66</v>
      </c>
      <c r="I43" s="183">
        <v>7.45</v>
      </c>
      <c r="J43" s="244">
        <f t="shared" si="0"/>
        <v>2256.1207500000005</v>
      </c>
    </row>
    <row r="44" spans="1:10" x14ac:dyDescent="0.2">
      <c r="A44" s="54" t="s">
        <v>132</v>
      </c>
      <c r="B44" s="154" t="s">
        <v>133</v>
      </c>
      <c r="C44" s="155">
        <v>336.8</v>
      </c>
      <c r="D44" s="156" t="s">
        <v>121</v>
      </c>
      <c r="E44" s="157" t="s">
        <v>17</v>
      </c>
      <c r="F44" s="158">
        <f>+'Auszahlung Erzeuger'!$F$32</f>
        <v>6.1</v>
      </c>
      <c r="G44" s="159">
        <f t="shared" si="1"/>
        <v>2054.48</v>
      </c>
      <c r="I44" s="183">
        <v>7.45</v>
      </c>
      <c r="J44" s="244">
        <f t="shared" si="0"/>
        <v>2446.431</v>
      </c>
    </row>
    <row r="45" spans="1:10" x14ac:dyDescent="0.2">
      <c r="A45" s="54" t="s">
        <v>132</v>
      </c>
      <c r="B45" s="154" t="s">
        <v>133</v>
      </c>
      <c r="C45" s="155">
        <v>371</v>
      </c>
      <c r="D45" s="156" t="s">
        <v>121</v>
      </c>
      <c r="E45" s="157" t="s">
        <v>36</v>
      </c>
      <c r="F45" s="158">
        <f>+'Auszahlung Erzeuger'!$F$31</f>
        <v>6.3</v>
      </c>
      <c r="G45" s="159">
        <f t="shared" si="1"/>
        <v>2337.2999999999997</v>
      </c>
      <c r="I45" s="183">
        <v>7.55</v>
      </c>
      <c r="J45" s="244">
        <f t="shared" si="0"/>
        <v>2731.0237499999998</v>
      </c>
    </row>
    <row r="46" spans="1:10" x14ac:dyDescent="0.2">
      <c r="A46" s="54" t="s">
        <v>132</v>
      </c>
      <c r="B46" s="154" t="s">
        <v>133</v>
      </c>
      <c r="C46" s="155">
        <v>455.6</v>
      </c>
      <c r="D46" s="156" t="s">
        <v>121</v>
      </c>
      <c r="E46" s="157" t="s">
        <v>19</v>
      </c>
      <c r="F46" s="158">
        <f>+'Auszahlung Erzeuger'!$F$36</f>
        <v>6.35</v>
      </c>
      <c r="G46" s="159">
        <f t="shared" si="1"/>
        <v>2893.06</v>
      </c>
      <c r="I46" s="183">
        <v>7.55</v>
      </c>
      <c r="J46" s="244">
        <f t="shared" si="0"/>
        <v>3353.7855000000004</v>
      </c>
    </row>
    <row r="47" spans="1:10" x14ac:dyDescent="0.2">
      <c r="A47" s="54" t="s">
        <v>132</v>
      </c>
      <c r="B47" s="154" t="s">
        <v>133</v>
      </c>
      <c r="C47" s="154">
        <v>325.8</v>
      </c>
      <c r="D47" s="156" t="s">
        <v>121</v>
      </c>
      <c r="E47" s="157" t="s">
        <v>17</v>
      </c>
      <c r="F47" s="158">
        <f>+'Auszahlung Erzeuger'!$F$32</f>
        <v>6.1</v>
      </c>
      <c r="G47" s="159">
        <f t="shared" si="1"/>
        <v>1987.3799999999999</v>
      </c>
      <c r="I47" s="183">
        <v>7.45</v>
      </c>
      <c r="J47" s="244">
        <f t="shared" si="0"/>
        <v>2366.5297500000001</v>
      </c>
    </row>
    <row r="48" spans="1:10" x14ac:dyDescent="0.2">
      <c r="A48" s="54" t="s">
        <v>132</v>
      </c>
      <c r="B48" s="154" t="s">
        <v>133</v>
      </c>
      <c r="C48" s="154">
        <v>383</v>
      </c>
      <c r="D48" s="156" t="s">
        <v>121</v>
      </c>
      <c r="E48" s="157" t="s">
        <v>17</v>
      </c>
      <c r="F48" s="158">
        <f>+'Auszahlung Erzeuger'!$F$32</f>
        <v>6.1</v>
      </c>
      <c r="G48" s="159">
        <f t="shared" si="1"/>
        <v>2336.2999999999997</v>
      </c>
      <c r="I48" s="183">
        <v>7.45</v>
      </c>
      <c r="J48" s="244">
        <f t="shared" si="0"/>
        <v>2782.0162500000001</v>
      </c>
    </row>
    <row r="49" spans="1:10" x14ac:dyDescent="0.2">
      <c r="A49" s="54" t="s">
        <v>132</v>
      </c>
      <c r="B49" s="154" t="s">
        <v>133</v>
      </c>
      <c r="C49" s="154">
        <v>349.2</v>
      </c>
      <c r="D49" s="156" t="s">
        <v>121</v>
      </c>
      <c r="E49" s="157" t="s">
        <v>36</v>
      </c>
      <c r="F49" s="158">
        <f>+'Auszahlung Erzeuger'!$F$31</f>
        <v>6.3</v>
      </c>
      <c r="G49" s="159">
        <f t="shared" si="1"/>
        <v>2199.96</v>
      </c>
      <c r="I49" s="183">
        <v>7.45</v>
      </c>
      <c r="J49" s="244">
        <f t="shared" si="0"/>
        <v>2536.5014999999999</v>
      </c>
    </row>
    <row r="50" spans="1:10" x14ac:dyDescent="0.2">
      <c r="A50" s="54" t="s">
        <v>132</v>
      </c>
      <c r="B50" s="154" t="s">
        <v>133</v>
      </c>
      <c r="C50" s="154">
        <v>312.2</v>
      </c>
      <c r="D50" s="156" t="s">
        <v>121</v>
      </c>
      <c r="E50" s="157" t="s">
        <v>17</v>
      </c>
      <c r="F50" s="158">
        <f>+'Auszahlung Erzeuger'!$F$31</f>
        <v>6.3</v>
      </c>
      <c r="G50" s="159">
        <f t="shared" si="1"/>
        <v>1966.86</v>
      </c>
      <c r="I50" s="183">
        <v>7.45</v>
      </c>
      <c r="J50" s="244">
        <f t="shared" si="0"/>
        <v>2267.7427499999999</v>
      </c>
    </row>
    <row r="51" spans="1:10" x14ac:dyDescent="0.2">
      <c r="A51" s="54" t="s">
        <v>132</v>
      </c>
      <c r="B51" s="154" t="s">
        <v>133</v>
      </c>
      <c r="C51" s="154">
        <v>358.6</v>
      </c>
      <c r="D51" s="156" t="s">
        <v>121</v>
      </c>
      <c r="E51" s="157" t="s">
        <v>17</v>
      </c>
      <c r="F51" s="158">
        <f>+'Auszahlung Erzeuger'!$F$31</f>
        <v>6.3</v>
      </c>
      <c r="G51" s="159">
        <f t="shared" si="1"/>
        <v>2259.1800000000003</v>
      </c>
      <c r="I51" s="183">
        <v>7.45</v>
      </c>
      <c r="J51" s="244">
        <f t="shared" si="0"/>
        <v>2604.7807499999999</v>
      </c>
    </row>
    <row r="52" spans="1:10" x14ac:dyDescent="0.2">
      <c r="A52" s="54" t="s">
        <v>132</v>
      </c>
      <c r="B52" s="154" t="s">
        <v>133</v>
      </c>
      <c r="C52" s="155">
        <v>346.8</v>
      </c>
      <c r="D52" s="156" t="s">
        <v>121</v>
      </c>
      <c r="E52" s="157" t="s">
        <v>17</v>
      </c>
      <c r="F52" s="158">
        <f>+'Auszahlung Erzeuger'!$F$31</f>
        <v>6.3</v>
      </c>
      <c r="G52" s="159">
        <f t="shared" si="1"/>
        <v>2184.84</v>
      </c>
      <c r="I52" s="183">
        <v>7.45</v>
      </c>
      <c r="J52" s="244">
        <f t="shared" si="0"/>
        <v>2519.0684999999999</v>
      </c>
    </row>
    <row r="53" spans="1:10" x14ac:dyDescent="0.2">
      <c r="A53" s="54" t="s">
        <v>132</v>
      </c>
      <c r="B53" s="154" t="s">
        <v>133</v>
      </c>
      <c r="C53" s="155">
        <v>512.6</v>
      </c>
      <c r="D53" s="156" t="s">
        <v>121</v>
      </c>
      <c r="E53" s="157" t="s">
        <v>39</v>
      </c>
      <c r="F53" s="158">
        <f>+'Auszahlung Erzeuger'!$F$31</f>
        <v>6.3</v>
      </c>
      <c r="G53" s="159">
        <f t="shared" si="1"/>
        <v>3229.38</v>
      </c>
      <c r="I53" s="183">
        <v>7.55</v>
      </c>
      <c r="J53" s="244">
        <f t="shared" si="0"/>
        <v>3773.3767499999999</v>
      </c>
    </row>
    <row r="54" spans="1:10" x14ac:dyDescent="0.2">
      <c r="A54" s="54" t="s">
        <v>132</v>
      </c>
      <c r="B54" s="154" t="s">
        <v>133</v>
      </c>
      <c r="C54" s="155">
        <v>388.2</v>
      </c>
      <c r="D54" s="156" t="s">
        <v>121</v>
      </c>
      <c r="E54" s="157" t="s">
        <v>17</v>
      </c>
      <c r="F54" s="158">
        <f>+'Auszahlung Erzeuger'!$F$32</f>
        <v>6.1</v>
      </c>
      <c r="G54" s="159">
        <f t="shared" si="1"/>
        <v>2368.02</v>
      </c>
      <c r="I54" s="183">
        <v>7.45</v>
      </c>
      <c r="J54" s="244">
        <f t="shared" si="0"/>
        <v>2819.78775</v>
      </c>
    </row>
    <row r="55" spans="1:10" x14ac:dyDescent="0.2">
      <c r="A55" s="54" t="s">
        <v>132</v>
      </c>
      <c r="B55" s="154" t="s">
        <v>133</v>
      </c>
      <c r="C55" s="155">
        <v>404.8</v>
      </c>
      <c r="D55" s="156" t="s">
        <v>121</v>
      </c>
      <c r="E55" s="157" t="s">
        <v>17</v>
      </c>
      <c r="F55" s="158">
        <f>+'Auszahlung Erzeuger'!$F$32</f>
        <v>6.1</v>
      </c>
      <c r="G55" s="159">
        <f t="shared" si="1"/>
        <v>2469.2799999999997</v>
      </c>
      <c r="I55" s="183">
        <v>7.45</v>
      </c>
      <c r="J55" s="244">
        <f t="shared" si="0"/>
        <v>2940.366</v>
      </c>
    </row>
    <row r="56" spans="1:10" x14ac:dyDescent="0.2">
      <c r="A56" s="54" t="s">
        <v>132</v>
      </c>
      <c r="B56" s="154" t="s">
        <v>133</v>
      </c>
      <c r="C56" s="155">
        <v>266.2</v>
      </c>
      <c r="D56" s="156" t="s">
        <v>121</v>
      </c>
      <c r="E56" s="157" t="s">
        <v>17</v>
      </c>
      <c r="F56" s="158">
        <f>+'Auszahlung Erzeuger'!$F$32</f>
        <v>6.1</v>
      </c>
      <c r="G56" s="159">
        <f t="shared" si="1"/>
        <v>1623.82</v>
      </c>
      <c r="I56" s="183">
        <v>7.45</v>
      </c>
      <c r="J56" s="244">
        <f t="shared" si="0"/>
        <v>1933.6102499999997</v>
      </c>
    </row>
    <row r="57" spans="1:10" x14ac:dyDescent="0.2">
      <c r="A57" s="54" t="s">
        <v>132</v>
      </c>
      <c r="B57" s="154" t="s">
        <v>133</v>
      </c>
      <c r="C57" s="155">
        <v>317.39999999999998</v>
      </c>
      <c r="D57" s="156" t="s">
        <v>121</v>
      </c>
      <c r="E57" s="157" t="s">
        <v>17</v>
      </c>
      <c r="F57" s="158">
        <f>+'Auszahlung Erzeuger'!$F$32</f>
        <v>6.1</v>
      </c>
      <c r="G57" s="159">
        <f t="shared" si="1"/>
        <v>1936.1399999999996</v>
      </c>
      <c r="I57" s="183">
        <v>7.45</v>
      </c>
      <c r="J57" s="244">
        <f t="shared" si="0"/>
        <v>2305.5142499999997</v>
      </c>
    </row>
    <row r="58" spans="1:10" x14ac:dyDescent="0.2">
      <c r="A58" s="54" t="s">
        <v>132</v>
      </c>
      <c r="B58" s="154" t="s">
        <v>133</v>
      </c>
      <c r="C58" s="155">
        <v>342</v>
      </c>
      <c r="D58" s="156" t="s">
        <v>121</v>
      </c>
      <c r="E58" s="157" t="s">
        <v>17</v>
      </c>
      <c r="F58" s="158">
        <f>+'Auszahlung Erzeuger'!$F$32</f>
        <v>6.1</v>
      </c>
      <c r="G58" s="159">
        <f t="shared" si="1"/>
        <v>2086.1999999999998</v>
      </c>
      <c r="I58" s="183">
        <v>7.45</v>
      </c>
      <c r="J58" s="244">
        <f t="shared" si="0"/>
        <v>2484.2024999999999</v>
      </c>
    </row>
    <row r="59" spans="1:10" x14ac:dyDescent="0.2">
      <c r="A59" s="54" t="s">
        <v>132</v>
      </c>
      <c r="B59" s="154" t="s">
        <v>133</v>
      </c>
      <c r="C59" s="155">
        <v>442.2</v>
      </c>
      <c r="D59" s="156" t="s">
        <v>121</v>
      </c>
      <c r="E59" s="157" t="s">
        <v>134</v>
      </c>
      <c r="F59" s="158">
        <f>+'Auszahlung Erzeuger'!$F$42-0.4</f>
        <v>5.5999999999999988</v>
      </c>
      <c r="G59" s="159">
        <f t="shared" si="1"/>
        <v>2476.3199999999993</v>
      </c>
      <c r="I59" s="183">
        <v>7</v>
      </c>
      <c r="J59" s="244">
        <f t="shared" si="0"/>
        <v>3018.0149999999999</v>
      </c>
    </row>
    <row r="60" spans="1:10" x14ac:dyDescent="0.2">
      <c r="A60" s="54" t="s">
        <v>132</v>
      </c>
      <c r="B60" s="154" t="s">
        <v>133</v>
      </c>
      <c r="C60" s="155">
        <v>272.2</v>
      </c>
      <c r="D60" s="156" t="s">
        <v>121</v>
      </c>
      <c r="E60" s="157" t="s">
        <v>17</v>
      </c>
      <c r="F60" s="158">
        <f>+'Auszahlung Erzeuger'!$F$32</f>
        <v>6.1</v>
      </c>
      <c r="G60" s="159">
        <f t="shared" si="1"/>
        <v>1660.4199999999998</v>
      </c>
      <c r="I60" s="183">
        <v>7.45</v>
      </c>
      <c r="J60" s="244">
        <f t="shared" si="0"/>
        <v>1977.1927499999999</v>
      </c>
    </row>
    <row r="61" spans="1:10" x14ac:dyDescent="0.2">
      <c r="A61" s="54" t="s">
        <v>132</v>
      </c>
      <c r="B61" s="154" t="s">
        <v>133</v>
      </c>
      <c r="C61" s="155">
        <v>334.8</v>
      </c>
      <c r="D61" s="156" t="s">
        <v>121</v>
      </c>
      <c r="E61" s="157" t="s">
        <v>17</v>
      </c>
      <c r="F61" s="158">
        <f>+'Auszahlung Erzeuger'!$F$32</f>
        <v>6.1</v>
      </c>
      <c r="G61" s="159">
        <f t="shared" si="1"/>
        <v>2042.28</v>
      </c>
      <c r="I61" s="183">
        <v>7.45</v>
      </c>
      <c r="J61" s="244">
        <f t="shared" si="0"/>
        <v>2431.9034999999999</v>
      </c>
    </row>
    <row r="62" spans="1:10" x14ac:dyDescent="0.2">
      <c r="A62" s="54" t="s">
        <v>135</v>
      </c>
      <c r="B62" s="154" t="s">
        <v>136</v>
      </c>
      <c r="C62" s="155">
        <v>291.39999999999998</v>
      </c>
      <c r="D62" s="156" t="s">
        <v>121</v>
      </c>
      <c r="E62" s="157" t="s">
        <v>16</v>
      </c>
      <c r="F62" s="158">
        <f>+'Auszahlung Erzeuger'!$F$33</f>
        <v>5.5</v>
      </c>
      <c r="G62" s="159">
        <f t="shared" si="1"/>
        <v>1602.6999999999998</v>
      </c>
      <c r="I62" s="183">
        <v>6.8</v>
      </c>
      <c r="J62" s="244">
        <f t="shared" si="0"/>
        <v>1931.9819999999995</v>
      </c>
    </row>
    <row r="63" spans="1:10" x14ac:dyDescent="0.2">
      <c r="A63" s="54" t="s">
        <v>135</v>
      </c>
      <c r="B63" s="154" t="s">
        <v>136</v>
      </c>
      <c r="C63" s="155">
        <v>405.8</v>
      </c>
      <c r="D63" s="156" t="s">
        <v>131</v>
      </c>
      <c r="E63" s="157" t="s">
        <v>36</v>
      </c>
      <c r="F63" s="158">
        <f>+'Auszahlung Erzeuger'!$D$31</f>
        <v>7.25</v>
      </c>
      <c r="G63" s="159">
        <f t="shared" si="1"/>
        <v>2942.05</v>
      </c>
      <c r="I63" s="183">
        <v>7.9</v>
      </c>
      <c r="J63" s="244">
        <f t="shared" si="0"/>
        <v>3125.6745000000005</v>
      </c>
    </row>
    <row r="64" spans="1:10" x14ac:dyDescent="0.2">
      <c r="A64" s="54" t="s">
        <v>135</v>
      </c>
      <c r="B64" s="154" t="s">
        <v>136</v>
      </c>
      <c r="C64" s="155">
        <v>395</v>
      </c>
      <c r="D64" s="156" t="s">
        <v>131</v>
      </c>
      <c r="E64" s="157" t="s">
        <v>36</v>
      </c>
      <c r="F64" s="158">
        <f>+'Auszahlung Erzeuger'!$D31</f>
        <v>7.25</v>
      </c>
      <c r="G64" s="159">
        <f t="shared" si="1"/>
        <v>2863.75</v>
      </c>
      <c r="I64" s="183">
        <v>7.9</v>
      </c>
      <c r="J64" s="244">
        <f t="shared" si="0"/>
        <v>3042.4875000000002</v>
      </c>
    </row>
    <row r="65" spans="1:10" x14ac:dyDescent="0.2">
      <c r="A65" s="54" t="s">
        <v>137</v>
      </c>
      <c r="B65" s="154" t="s">
        <v>138</v>
      </c>
      <c r="C65" s="155">
        <v>394.4</v>
      </c>
      <c r="D65" s="156" t="s">
        <v>121</v>
      </c>
      <c r="E65" s="157" t="s">
        <v>19</v>
      </c>
      <c r="F65" s="158">
        <f>+'Auszahlung Erzeuger'!$F$36</f>
        <v>6.35</v>
      </c>
      <c r="G65" s="159">
        <f t="shared" si="1"/>
        <v>2504.4399999999996</v>
      </c>
      <c r="I65" s="183">
        <v>7.55</v>
      </c>
      <c r="J65" s="244">
        <f t="shared" si="0"/>
        <v>2903.2769999999996</v>
      </c>
    </row>
    <row r="66" spans="1:10" x14ac:dyDescent="0.2">
      <c r="A66" s="54" t="s">
        <v>137</v>
      </c>
      <c r="B66" s="154" t="s">
        <v>138</v>
      </c>
      <c r="C66" s="155">
        <v>318.39999999999998</v>
      </c>
      <c r="D66" s="156" t="s">
        <v>120</v>
      </c>
      <c r="E66" s="157" t="s">
        <v>19</v>
      </c>
      <c r="F66" s="158">
        <f>+'Auszahlung Erzeuger'!$C$36</f>
        <v>7.1499999999999995</v>
      </c>
      <c r="G66" s="159">
        <f t="shared" si="1"/>
        <v>2276.5599999999995</v>
      </c>
      <c r="I66" s="183">
        <v>7.6</v>
      </c>
      <c r="J66" s="244">
        <f t="shared" si="0"/>
        <v>2359.3440000000001</v>
      </c>
    </row>
    <row r="67" spans="1:10" x14ac:dyDescent="0.2">
      <c r="A67" s="54" t="s">
        <v>137</v>
      </c>
      <c r="B67" s="154" t="s">
        <v>138</v>
      </c>
      <c r="C67" s="155">
        <v>437.8</v>
      </c>
      <c r="D67" s="156" t="s">
        <v>124</v>
      </c>
      <c r="E67" s="157" t="s">
        <v>19</v>
      </c>
      <c r="F67" s="158">
        <f>+'Auszahlung Erzeuger'!$D$36</f>
        <v>7.3</v>
      </c>
      <c r="G67" s="159">
        <f t="shared" si="1"/>
        <v>3195.94</v>
      </c>
      <c r="I67" s="183">
        <v>7.9</v>
      </c>
      <c r="J67" s="244">
        <f t="shared" si="0"/>
        <v>3372.1545000000001</v>
      </c>
    </row>
    <row r="68" spans="1:10" x14ac:dyDescent="0.2">
      <c r="A68" s="54" t="s">
        <v>137</v>
      </c>
      <c r="B68" s="154" t="s">
        <v>138</v>
      </c>
      <c r="C68" s="155">
        <v>370.4</v>
      </c>
      <c r="D68" s="156" t="s">
        <v>124</v>
      </c>
      <c r="E68" s="157" t="s">
        <v>19</v>
      </c>
      <c r="F68" s="158">
        <f>+'Auszahlung Erzeuger'!$D$36</f>
        <v>7.3</v>
      </c>
      <c r="G68" s="159">
        <f t="shared" si="1"/>
        <v>2703.9199999999996</v>
      </c>
      <c r="I68" s="183">
        <v>7.9</v>
      </c>
      <c r="J68" s="244">
        <f t="shared" si="0"/>
        <v>2853.0059999999999</v>
      </c>
    </row>
    <row r="69" spans="1:10" x14ac:dyDescent="0.2">
      <c r="A69" s="54" t="s">
        <v>137</v>
      </c>
      <c r="B69" s="154" t="s">
        <v>138</v>
      </c>
      <c r="C69" s="155">
        <v>376.4</v>
      </c>
      <c r="D69" s="156" t="s">
        <v>124</v>
      </c>
      <c r="E69" s="157" t="s">
        <v>19</v>
      </c>
      <c r="F69" s="158">
        <f>+'Auszahlung Erzeuger'!$D$36</f>
        <v>7.3</v>
      </c>
      <c r="G69" s="159">
        <f t="shared" si="1"/>
        <v>2747.72</v>
      </c>
      <c r="I69" s="183">
        <v>7.9</v>
      </c>
      <c r="J69" s="244">
        <f>+I69*(C69*0.975)</f>
        <v>2899.2209999999995</v>
      </c>
    </row>
    <row r="70" spans="1:10" x14ac:dyDescent="0.2">
      <c r="A70" s="54" t="s">
        <v>137</v>
      </c>
      <c r="B70" s="154" t="s">
        <v>138</v>
      </c>
      <c r="C70" s="155">
        <v>390.2</v>
      </c>
      <c r="D70" s="156" t="s">
        <v>124</v>
      </c>
      <c r="E70" s="157" t="s">
        <v>19</v>
      </c>
      <c r="F70" s="158">
        <f>+'Auszahlung Erzeuger'!$D$36</f>
        <v>7.3</v>
      </c>
      <c r="G70" s="159">
        <f t="shared" si="1"/>
        <v>2848.46</v>
      </c>
      <c r="I70" s="183">
        <v>7.9</v>
      </c>
      <c r="J70" s="244">
        <f>+I70*(C70*0.975)</f>
        <v>3005.5155</v>
      </c>
    </row>
    <row r="71" spans="1:10" x14ac:dyDescent="0.2">
      <c r="A71" s="54" t="s">
        <v>137</v>
      </c>
      <c r="B71" s="154" t="s">
        <v>138</v>
      </c>
      <c r="C71" s="155">
        <v>352.2</v>
      </c>
      <c r="D71" s="156" t="s">
        <v>124</v>
      </c>
      <c r="E71" s="157" t="s">
        <v>19</v>
      </c>
      <c r="F71" s="158">
        <f>+'Auszahlung Erzeuger'!$D$36</f>
        <v>7.3</v>
      </c>
      <c r="G71" s="159">
        <f t="shared" si="1"/>
        <v>2571.06</v>
      </c>
      <c r="I71" s="183">
        <v>7.9</v>
      </c>
      <c r="J71" s="244">
        <f>+I71*(C71*0.975)</f>
        <v>2712.8204999999998</v>
      </c>
    </row>
    <row r="72" spans="1:10" x14ac:dyDescent="0.2">
      <c r="A72" s="54" t="s">
        <v>137</v>
      </c>
      <c r="B72" s="154" t="s">
        <v>138</v>
      </c>
      <c r="C72" s="155">
        <v>384.8</v>
      </c>
      <c r="D72" s="156" t="s">
        <v>124</v>
      </c>
      <c r="E72" s="157" t="s">
        <v>19</v>
      </c>
      <c r="F72" s="158">
        <f>+'Auszahlung Erzeuger'!$D$36</f>
        <v>7.3</v>
      </c>
      <c r="G72" s="159">
        <f t="shared" si="1"/>
        <v>2809.04</v>
      </c>
      <c r="I72" s="183">
        <v>7.9</v>
      </c>
      <c r="J72" s="244">
        <f>+I72*(C72*0.975)</f>
        <v>2963.922</v>
      </c>
    </row>
    <row r="73" spans="1:10" ht="13.5" thickBot="1" x14ac:dyDescent="0.25">
      <c r="A73" s="151"/>
      <c r="B73" s="154"/>
      <c r="C73" s="155"/>
      <c r="D73" s="156"/>
      <c r="E73" s="161"/>
      <c r="F73" s="158"/>
      <c r="G73" s="159"/>
      <c r="H73" s="160"/>
      <c r="J73" s="34"/>
    </row>
    <row r="74" spans="1:10" ht="13.5" thickBot="1" x14ac:dyDescent="0.25">
      <c r="A74" s="151"/>
      <c r="B74" s="162" t="s">
        <v>117</v>
      </c>
      <c r="C74" s="163">
        <f>SUM(C5:C73)</f>
        <v>24419.000000000004</v>
      </c>
      <c r="D74" s="164">
        <f>COUNT(C5:C73)</f>
        <v>68</v>
      </c>
      <c r="E74" s="165"/>
      <c r="F74" s="239">
        <f>+G74/C74</f>
        <v>6.5637268110897251</v>
      </c>
      <c r="G74" s="166">
        <f>SUM(G5:G73)</f>
        <v>160279.64500000002</v>
      </c>
      <c r="H74" s="160"/>
      <c r="I74" s="245"/>
      <c r="J74" s="246">
        <f>SUM(J5:J73)</f>
        <v>180638.22562499999</v>
      </c>
    </row>
    <row r="75" spans="1:10" x14ac:dyDescent="0.2">
      <c r="E75" s="160"/>
      <c r="F75" s="167"/>
      <c r="H75" s="160"/>
    </row>
    <row r="76" spans="1:10" x14ac:dyDescent="0.2">
      <c r="C76" s="168"/>
      <c r="E76" s="59"/>
    </row>
    <row r="77" spans="1:10" ht="10.5" customHeight="1" thickBot="1" x14ac:dyDescent="0.25">
      <c r="C77" s="168"/>
      <c r="E77" s="160"/>
    </row>
    <row r="78" spans="1:10" ht="13.5" hidden="1" thickBot="1" x14ac:dyDescent="0.25">
      <c r="C78" s="168"/>
      <c r="E78" s="160"/>
    </row>
    <row r="79" spans="1:10" ht="30.75" customHeight="1" x14ac:dyDescent="0.2">
      <c r="A79" s="169" t="s">
        <v>139</v>
      </c>
      <c r="B79" s="170"/>
      <c r="C79" s="170" t="s">
        <v>140</v>
      </c>
      <c r="D79" s="171" t="s">
        <v>117</v>
      </c>
      <c r="E79" s="172" t="s">
        <v>33</v>
      </c>
      <c r="F79" s="173" t="s">
        <v>141</v>
      </c>
      <c r="G79" s="174" t="s">
        <v>142</v>
      </c>
      <c r="H79" s="174" t="s">
        <v>143</v>
      </c>
    </row>
    <row r="80" spans="1:10" x14ac:dyDescent="0.2">
      <c r="A80" s="175" t="s">
        <v>144</v>
      </c>
      <c r="B80" s="151"/>
      <c r="C80" s="176"/>
      <c r="D80" s="177">
        <f>+G74</f>
        <v>160279.64500000002</v>
      </c>
      <c r="E80" s="178"/>
      <c r="F80" s="179"/>
      <c r="G80" s="176"/>
      <c r="H80" s="176">
        <f>+G74</f>
        <v>160279.64500000002</v>
      </c>
      <c r="J80" s="243">
        <f>+H80</f>
        <v>160279.64500000002</v>
      </c>
    </row>
    <row r="81" spans="1:10" x14ac:dyDescent="0.2">
      <c r="A81" s="175"/>
      <c r="B81" s="151"/>
      <c r="C81" s="176"/>
      <c r="D81" s="180"/>
      <c r="E81" s="178"/>
      <c r="F81" s="179"/>
      <c r="G81" s="176"/>
      <c r="H81" s="176"/>
    </row>
    <row r="82" spans="1:10" x14ac:dyDescent="0.2">
      <c r="A82" s="17" t="s">
        <v>145</v>
      </c>
      <c r="B82" s="181"/>
      <c r="C82" s="176"/>
      <c r="D82" s="182"/>
      <c r="E82" s="178"/>
      <c r="F82" s="179"/>
      <c r="G82" s="176"/>
      <c r="H82" s="176"/>
    </row>
    <row r="83" spans="1:10" x14ac:dyDescent="0.2">
      <c r="A83" s="175" t="s">
        <v>146</v>
      </c>
      <c r="B83" s="181">
        <v>24</v>
      </c>
      <c r="C83" s="176">
        <v>175</v>
      </c>
      <c r="D83" s="182">
        <f>+C83*B83</f>
        <v>4200</v>
      </c>
      <c r="E83" s="178"/>
      <c r="F83" s="179"/>
      <c r="G83" s="176"/>
      <c r="H83" s="176">
        <f>+D83</f>
        <v>4200</v>
      </c>
      <c r="J83" s="243">
        <f>+H83</f>
        <v>4200</v>
      </c>
    </row>
    <row r="84" spans="1:10" x14ac:dyDescent="0.2">
      <c r="A84" s="17"/>
      <c r="B84" s="181"/>
      <c r="C84" s="176"/>
      <c r="D84" s="182"/>
      <c r="E84" s="178"/>
      <c r="F84" s="179"/>
      <c r="G84" s="176"/>
      <c r="H84" s="176"/>
    </row>
    <row r="85" spans="1:10" x14ac:dyDescent="0.2">
      <c r="A85" s="17" t="s">
        <v>147</v>
      </c>
      <c r="B85" s="181"/>
      <c r="C85" s="176"/>
      <c r="D85" s="182"/>
      <c r="E85" s="178"/>
      <c r="F85" s="179"/>
      <c r="G85" s="176"/>
      <c r="H85" s="176"/>
    </row>
    <row r="86" spans="1:10" x14ac:dyDescent="0.2">
      <c r="A86" s="175" t="s">
        <v>146</v>
      </c>
      <c r="B86" s="181">
        <v>13</v>
      </c>
      <c r="C86" s="176">
        <v>175</v>
      </c>
      <c r="D86" s="182">
        <f>1560+11</f>
        <v>1571</v>
      </c>
      <c r="E86" s="178"/>
      <c r="F86" s="179"/>
      <c r="G86" s="176"/>
      <c r="H86" s="176">
        <f>+D86</f>
        <v>1571</v>
      </c>
      <c r="J86" s="243">
        <f>+H86</f>
        <v>1571</v>
      </c>
    </row>
    <row r="87" spans="1:10" x14ac:dyDescent="0.2">
      <c r="A87" s="17"/>
      <c r="B87" s="181"/>
      <c r="C87" s="176"/>
      <c r="D87" s="182"/>
      <c r="E87" s="178"/>
      <c r="F87" s="179"/>
      <c r="G87" s="176"/>
      <c r="H87" s="176"/>
    </row>
    <row r="88" spans="1:10" x14ac:dyDescent="0.2">
      <c r="A88" s="17" t="s">
        <v>148</v>
      </c>
      <c r="B88" s="181"/>
      <c r="C88" s="176"/>
      <c r="D88" s="182"/>
      <c r="E88" s="178"/>
      <c r="F88" s="179"/>
      <c r="G88" s="176"/>
      <c r="H88" s="176"/>
    </row>
    <row r="89" spans="1:10" x14ac:dyDescent="0.2">
      <c r="A89" s="175" t="s">
        <v>146</v>
      </c>
      <c r="B89" s="181">
        <v>20</v>
      </c>
      <c r="C89" s="176">
        <v>175</v>
      </c>
      <c r="D89" s="182">
        <v>1831.5</v>
      </c>
      <c r="E89" s="178"/>
      <c r="F89" s="179"/>
      <c r="G89" s="176"/>
      <c r="H89" s="176">
        <f>+D89</f>
        <v>1831.5</v>
      </c>
      <c r="J89" s="243">
        <f>+H89</f>
        <v>1831.5</v>
      </c>
    </row>
    <row r="90" spans="1:10" x14ac:dyDescent="0.2">
      <c r="A90" s="17"/>
      <c r="B90" s="181"/>
      <c r="C90" s="176"/>
      <c r="D90" s="182"/>
      <c r="E90" s="178"/>
      <c r="F90" s="179"/>
      <c r="G90" s="176"/>
      <c r="H90" s="176"/>
    </row>
    <row r="91" spans="1:10" x14ac:dyDescent="0.2">
      <c r="A91" s="17" t="s">
        <v>149</v>
      </c>
      <c r="B91" s="181"/>
      <c r="C91" s="176"/>
      <c r="D91" s="182"/>
      <c r="E91" s="178"/>
      <c r="F91" s="179"/>
      <c r="G91" s="176"/>
      <c r="H91" s="176"/>
    </row>
    <row r="92" spans="1:10" x14ac:dyDescent="0.2">
      <c r="A92" s="175" t="s">
        <v>146</v>
      </c>
      <c r="B92" s="181">
        <v>11</v>
      </c>
      <c r="C92" s="176">
        <v>175</v>
      </c>
      <c r="D92" s="182">
        <f>1320+16.5</f>
        <v>1336.5</v>
      </c>
      <c r="E92" s="178"/>
      <c r="F92" s="179"/>
      <c r="G92" s="176"/>
      <c r="H92" s="176">
        <f>+D92</f>
        <v>1336.5</v>
      </c>
      <c r="J92" s="243">
        <f>+H92</f>
        <v>1336.5</v>
      </c>
    </row>
    <row r="93" spans="1:10" x14ac:dyDescent="0.2">
      <c r="A93" s="17"/>
      <c r="B93" s="181"/>
      <c r="C93" s="176"/>
      <c r="D93" s="182"/>
      <c r="E93" s="178"/>
      <c r="F93" s="179"/>
      <c r="G93" s="176"/>
      <c r="H93" s="176"/>
    </row>
    <row r="94" spans="1:10" x14ac:dyDescent="0.2">
      <c r="A94" s="175"/>
      <c r="B94" s="181"/>
      <c r="C94" s="176"/>
      <c r="D94" s="182"/>
      <c r="E94" s="178"/>
      <c r="F94" s="179"/>
      <c r="G94" s="176"/>
      <c r="H94" s="176"/>
    </row>
    <row r="95" spans="1:10" x14ac:dyDescent="0.2">
      <c r="A95" s="17" t="s">
        <v>150</v>
      </c>
      <c r="B95" s="181"/>
      <c r="C95" s="151"/>
      <c r="D95" s="182"/>
      <c r="E95" s="178"/>
      <c r="F95" s="179"/>
      <c r="G95" s="176"/>
      <c r="H95" s="176"/>
    </row>
    <row r="96" spans="1:10" x14ac:dyDescent="0.2">
      <c r="A96" s="175" t="s">
        <v>151</v>
      </c>
      <c r="B96" s="181">
        <v>8100.2</v>
      </c>
      <c r="C96" s="176">
        <v>0.3</v>
      </c>
      <c r="D96" s="182">
        <f>+C96*B96</f>
        <v>2430.06</v>
      </c>
      <c r="E96" s="178"/>
      <c r="F96" s="179"/>
      <c r="G96" s="176"/>
      <c r="H96" s="183">
        <f>+D96</f>
        <v>2430.06</v>
      </c>
      <c r="J96" s="160">
        <f>+H96</f>
        <v>2430.06</v>
      </c>
    </row>
    <row r="97" spans="1:10" x14ac:dyDescent="0.2">
      <c r="A97" s="175" t="s">
        <v>152</v>
      </c>
      <c r="B97" s="184">
        <v>4956.7</v>
      </c>
      <c r="C97" s="185">
        <v>0.3</v>
      </c>
      <c r="D97" s="182">
        <f>+C97*B97</f>
        <v>1487.01</v>
      </c>
      <c r="E97" s="186"/>
      <c r="F97" s="179"/>
      <c r="G97" s="176"/>
      <c r="H97" s="183">
        <f>+D97</f>
        <v>1487.01</v>
      </c>
      <c r="J97" s="160">
        <f>+H97</f>
        <v>1487.01</v>
      </c>
    </row>
    <row r="98" spans="1:10" x14ac:dyDescent="0.2">
      <c r="A98" s="175" t="s">
        <v>153</v>
      </c>
      <c r="B98" s="181">
        <v>7249.2</v>
      </c>
      <c r="C98" s="176">
        <v>0.3</v>
      </c>
      <c r="D98" s="182">
        <f>+C98*B98</f>
        <v>2174.7599999999998</v>
      </c>
      <c r="E98" s="178"/>
      <c r="F98" s="179"/>
      <c r="G98" s="176"/>
      <c r="H98" s="183">
        <f>+D98</f>
        <v>2174.7599999999998</v>
      </c>
      <c r="J98" s="160">
        <f>+H98</f>
        <v>2174.7599999999998</v>
      </c>
    </row>
    <row r="99" spans="1:10" x14ac:dyDescent="0.2">
      <c r="A99" s="175" t="s">
        <v>152</v>
      </c>
      <c r="B99" s="184">
        <v>4034.8</v>
      </c>
      <c r="C99" s="183">
        <v>0.3</v>
      </c>
      <c r="D99" s="182">
        <f>+C99*B99</f>
        <v>1210.44</v>
      </c>
      <c r="E99" s="186"/>
      <c r="F99" s="179"/>
      <c r="G99" s="176"/>
      <c r="H99" s="183">
        <f>+D99</f>
        <v>1210.44</v>
      </c>
      <c r="J99" s="160">
        <f>+H99</f>
        <v>1210.44</v>
      </c>
    </row>
    <row r="100" spans="1:10" x14ac:dyDescent="0.2">
      <c r="A100" s="175"/>
      <c r="B100" s="184"/>
      <c r="C100" s="183"/>
      <c r="D100" s="182"/>
      <c r="E100" s="186"/>
      <c r="F100" s="179"/>
      <c r="G100" s="176"/>
      <c r="H100" s="183"/>
    </row>
    <row r="101" spans="1:10" x14ac:dyDescent="0.2">
      <c r="A101" s="175"/>
      <c r="B101" s="184"/>
      <c r="C101" s="183"/>
      <c r="D101" s="182"/>
      <c r="E101" s="186"/>
      <c r="F101" s="179"/>
      <c r="G101" s="176"/>
      <c r="H101" s="183"/>
    </row>
    <row r="102" spans="1:10" x14ac:dyDescent="0.2">
      <c r="A102" s="187" t="s">
        <v>154</v>
      </c>
      <c r="B102" s="188"/>
      <c r="C102" s="189"/>
      <c r="D102" s="190"/>
      <c r="E102" s="186"/>
      <c r="F102" s="179"/>
      <c r="G102" s="176"/>
      <c r="H102" s="176"/>
    </row>
    <row r="103" spans="1:10" x14ac:dyDescent="0.2">
      <c r="A103" s="191" t="s">
        <v>155</v>
      </c>
      <c r="B103" s="192">
        <f>+D103/C103</f>
        <v>9303.7777777777774</v>
      </c>
      <c r="C103" s="193">
        <v>0.9</v>
      </c>
      <c r="D103" s="194">
        <v>8373.4</v>
      </c>
      <c r="E103" s="195"/>
      <c r="F103" s="196">
        <f>+D103</f>
        <v>8373.4</v>
      </c>
      <c r="G103" s="176"/>
      <c r="H103" s="176"/>
    </row>
    <row r="104" spans="1:10" x14ac:dyDescent="0.2">
      <c r="A104" s="197" t="s">
        <v>156</v>
      </c>
      <c r="B104" s="192">
        <v>11118.5</v>
      </c>
      <c r="C104" s="193">
        <v>1</v>
      </c>
      <c r="D104" s="194">
        <f>+C104*B104</f>
        <v>11118.5</v>
      </c>
      <c r="E104" s="195"/>
      <c r="F104" s="196">
        <f>+D104</f>
        <v>11118.5</v>
      </c>
      <c r="G104" s="176"/>
      <c r="H104" s="176"/>
    </row>
    <row r="105" spans="1:10" x14ac:dyDescent="0.2">
      <c r="A105" s="198"/>
      <c r="B105" s="181"/>
      <c r="C105" s="183"/>
      <c r="D105" s="182"/>
      <c r="E105" s="186"/>
      <c r="F105" s="179"/>
      <c r="G105" s="176"/>
      <c r="H105" s="176"/>
    </row>
    <row r="106" spans="1:10" x14ac:dyDescent="0.2">
      <c r="A106" s="17" t="s">
        <v>157</v>
      </c>
      <c r="B106" s="181" t="s">
        <v>158</v>
      </c>
      <c r="C106" s="183"/>
      <c r="D106" s="182">
        <v>5000</v>
      </c>
      <c r="E106" s="186"/>
      <c r="F106" s="179">
        <v>3000</v>
      </c>
      <c r="G106" s="176"/>
      <c r="H106" s="176"/>
    </row>
    <row r="107" spans="1:10" x14ac:dyDescent="0.2">
      <c r="A107" s="198" t="s">
        <v>159</v>
      </c>
      <c r="B107" s="181" t="s">
        <v>160</v>
      </c>
      <c r="C107" s="183"/>
      <c r="D107" s="182"/>
      <c r="E107" s="186"/>
      <c r="F107" s="179">
        <f>+D107</f>
        <v>0</v>
      </c>
      <c r="G107" s="176"/>
      <c r="H107" s="176"/>
    </row>
    <row r="108" spans="1:10" x14ac:dyDescent="0.2">
      <c r="A108" s="198"/>
      <c r="B108" s="181"/>
      <c r="C108" s="183"/>
      <c r="D108" s="182"/>
      <c r="E108" s="186"/>
      <c r="F108" s="179">
        <f>+D108</f>
        <v>0</v>
      </c>
      <c r="G108" s="176"/>
      <c r="H108" s="176"/>
    </row>
    <row r="109" spans="1:10" x14ac:dyDescent="0.2">
      <c r="A109" s="17" t="s">
        <v>161</v>
      </c>
      <c r="B109" s="156" t="s">
        <v>162</v>
      </c>
      <c r="C109" s="183"/>
      <c r="D109" s="182"/>
      <c r="E109" s="186"/>
      <c r="F109" s="179">
        <f>+D109</f>
        <v>0</v>
      </c>
      <c r="G109" s="176"/>
      <c r="H109" s="176"/>
    </row>
    <row r="110" spans="1:10" x14ac:dyDescent="0.2">
      <c r="A110" s="175"/>
      <c r="B110" s="181"/>
      <c r="C110" s="183"/>
      <c r="D110" s="182">
        <v>2800</v>
      </c>
      <c r="E110" s="186"/>
      <c r="F110" s="179">
        <f>+D110</f>
        <v>2800</v>
      </c>
      <c r="G110" s="176"/>
      <c r="H110" s="176"/>
    </row>
    <row r="111" spans="1:10" x14ac:dyDescent="0.2">
      <c r="A111" s="175"/>
      <c r="B111" s="181"/>
      <c r="C111" s="183"/>
      <c r="D111" s="182"/>
      <c r="E111" s="186"/>
      <c r="F111" s="179">
        <f>+D111</f>
        <v>0</v>
      </c>
      <c r="G111" s="176"/>
      <c r="H111" s="176"/>
    </row>
    <row r="112" spans="1:10" ht="12.75" customHeight="1" x14ac:dyDescent="0.2">
      <c r="A112" s="191" t="s">
        <v>163</v>
      </c>
      <c r="B112" s="199">
        <f>+D74</f>
        <v>68</v>
      </c>
      <c r="C112" s="200">
        <v>40</v>
      </c>
      <c r="D112" s="201">
        <f>+C112*B112</f>
        <v>2720</v>
      </c>
      <c r="E112" s="195">
        <f>+D112/C74</f>
        <v>0.11138867275482205</v>
      </c>
      <c r="F112" s="196"/>
      <c r="G112" s="202">
        <f>+D112</f>
        <v>2720</v>
      </c>
      <c r="H112" s="176"/>
      <c r="J112" s="160"/>
    </row>
    <row r="113" spans="1:10" ht="13.5" thickBot="1" x14ac:dyDescent="0.25">
      <c r="A113" s="203"/>
      <c r="B113" s="204"/>
      <c r="C113" s="159"/>
      <c r="D113" s="205"/>
      <c r="E113" s="186">
        <f>+D113/C74*-1</f>
        <v>0</v>
      </c>
      <c r="F113" s="206"/>
      <c r="G113" s="176"/>
      <c r="H113" s="176"/>
    </row>
    <row r="114" spans="1:10" ht="13.5" thickBot="1" x14ac:dyDescent="0.25">
      <c r="A114" s="207" t="s">
        <v>164</v>
      </c>
      <c r="B114" s="208"/>
      <c r="C114" s="209">
        <f>+D114/B131</f>
        <v>13.934432550520317</v>
      </c>
      <c r="D114" s="210">
        <f>SUM(D81:D113)+G74</f>
        <v>206532.815</v>
      </c>
      <c r="E114" s="211">
        <f>SUM(E82:E113)</f>
        <v>0.11138867275482205</v>
      </c>
      <c r="F114" s="206">
        <f>SUM(F80:F113)</f>
        <v>25291.9</v>
      </c>
      <c r="G114" s="206">
        <f>SUM(G80:G113)</f>
        <v>2720</v>
      </c>
      <c r="H114" s="206">
        <f>SUM(H80:H113)</f>
        <v>176520.91500000004</v>
      </c>
      <c r="J114" s="160">
        <f>SUM(J80:J113)</f>
        <v>176520.91500000004</v>
      </c>
    </row>
    <row r="115" spans="1:10" x14ac:dyDescent="0.2">
      <c r="D115" s="160"/>
      <c r="F115" s="176"/>
      <c r="G115" s="176"/>
      <c r="H115" s="176"/>
    </row>
    <row r="116" spans="1:10" ht="13.5" thickBot="1" x14ac:dyDescent="0.25">
      <c r="D116" s="160"/>
      <c r="F116" s="176"/>
      <c r="G116" s="176"/>
      <c r="H116" s="176"/>
      <c r="J116" s="160">
        <f>+J74-J114</f>
        <v>4117.3106249999546</v>
      </c>
    </row>
    <row r="117" spans="1:10" x14ac:dyDescent="0.2">
      <c r="A117" s="169" t="s">
        <v>165</v>
      </c>
      <c r="B117" s="170" t="s">
        <v>166</v>
      </c>
      <c r="C117" s="170" t="s">
        <v>140</v>
      </c>
      <c r="D117" s="212" t="s">
        <v>117</v>
      </c>
      <c r="F117" s="176"/>
      <c r="G117" s="176"/>
      <c r="H117" s="176"/>
    </row>
    <row r="118" spans="1:10" x14ac:dyDescent="0.2">
      <c r="A118" s="175"/>
      <c r="B118" s="213"/>
      <c r="C118" s="183"/>
      <c r="D118" s="214"/>
      <c r="F118" s="176"/>
      <c r="G118" s="176"/>
      <c r="H118" s="176"/>
    </row>
    <row r="119" spans="1:10" x14ac:dyDescent="0.2">
      <c r="A119" s="175" t="s">
        <v>167</v>
      </c>
      <c r="B119" s="213">
        <f>21.4+37.28+87.93+76.5+58.89+23.53+20.19+19.85+207.63</f>
        <v>553.20000000000005</v>
      </c>
      <c r="C119" s="183">
        <v>17</v>
      </c>
      <c r="D119" s="214">
        <f t="shared" ref="D119:D124" si="2">+C119*B119</f>
        <v>9404.4000000000015</v>
      </c>
      <c r="F119" s="176"/>
      <c r="G119" s="176"/>
      <c r="H119" s="176"/>
    </row>
    <row r="120" spans="1:10" x14ac:dyDescent="0.2">
      <c r="A120" s="175" t="s">
        <v>168</v>
      </c>
      <c r="B120" s="213">
        <f>16.16+28.7+75.24+63.83+43.61+19.74+18.24+24.47+30.1</f>
        <v>320.09000000000003</v>
      </c>
      <c r="C120" s="183">
        <v>17</v>
      </c>
      <c r="D120" s="214">
        <f t="shared" si="2"/>
        <v>5441.5300000000007</v>
      </c>
      <c r="F120" s="176"/>
      <c r="G120" s="176"/>
      <c r="H120" s="176"/>
    </row>
    <row r="121" spans="1:10" x14ac:dyDescent="0.2">
      <c r="A121" s="175" t="s">
        <v>169</v>
      </c>
      <c r="B121" s="213">
        <f>17.64+30.66+73.15+58.42+43.66+41.12+18.88+24.27+218.17</f>
        <v>525.96999999999991</v>
      </c>
      <c r="C121" s="183">
        <v>17</v>
      </c>
      <c r="D121" s="214">
        <f t="shared" si="2"/>
        <v>8941.489999999998</v>
      </c>
      <c r="F121" s="176"/>
      <c r="G121" s="176"/>
      <c r="H121" s="176"/>
    </row>
    <row r="122" spans="1:10" x14ac:dyDescent="0.2">
      <c r="A122" s="175" t="s">
        <v>168</v>
      </c>
      <c r="B122" s="213">
        <v>96.45</v>
      </c>
      <c r="C122" s="159">
        <v>17.5</v>
      </c>
      <c r="D122" s="214">
        <f t="shared" si="2"/>
        <v>1687.875</v>
      </c>
      <c r="F122" s="176"/>
      <c r="G122" s="176"/>
      <c r="H122" s="176"/>
    </row>
    <row r="123" spans="1:10" x14ac:dyDescent="0.2">
      <c r="A123" s="175" t="s">
        <v>170</v>
      </c>
      <c r="B123" s="213">
        <f>16.75+43.57+67.95+62.43+46.05+14.76+20.29+29.93+6.95</f>
        <v>308.68</v>
      </c>
      <c r="C123" s="159">
        <v>17.5</v>
      </c>
      <c r="D123" s="214">
        <f t="shared" si="2"/>
        <v>5401.9000000000005</v>
      </c>
      <c r="F123" s="176"/>
      <c r="G123" s="176"/>
      <c r="H123" s="176"/>
    </row>
    <row r="124" spans="1:10" x14ac:dyDescent="0.2">
      <c r="A124" s="215" t="s">
        <v>171</v>
      </c>
      <c r="B124" s="213">
        <f>23.38+60.1+90.86+83.45+63.04+43.56+25.96+29.02+498</f>
        <v>917.37</v>
      </c>
      <c r="C124" s="159">
        <v>17.5</v>
      </c>
      <c r="D124" s="214">
        <f t="shared" si="2"/>
        <v>16053.975</v>
      </c>
      <c r="F124" s="176"/>
      <c r="G124" s="176"/>
      <c r="H124" s="176"/>
    </row>
    <row r="125" spans="1:10" x14ac:dyDescent="0.2">
      <c r="A125" s="215"/>
      <c r="B125" s="213"/>
      <c r="C125" s="159"/>
      <c r="D125" s="214"/>
      <c r="F125" s="176"/>
      <c r="G125" s="176"/>
      <c r="H125" s="176"/>
    </row>
    <row r="126" spans="1:10" x14ac:dyDescent="0.2">
      <c r="A126" s="175" t="s">
        <v>172</v>
      </c>
      <c r="B126" s="213">
        <v>0</v>
      </c>
      <c r="C126" s="159"/>
      <c r="D126" s="214">
        <f>+C126*B126</f>
        <v>0</v>
      </c>
      <c r="F126" s="176"/>
      <c r="G126" s="176"/>
      <c r="H126" s="176"/>
    </row>
    <row r="127" spans="1:10" x14ac:dyDescent="0.2">
      <c r="A127" s="175"/>
      <c r="B127" s="213"/>
      <c r="C127" s="159"/>
      <c r="D127" s="214"/>
      <c r="F127" s="176"/>
      <c r="G127" s="176"/>
      <c r="H127" s="176"/>
    </row>
    <row r="128" spans="1:10" ht="15" customHeight="1" x14ac:dyDescent="0.2">
      <c r="A128" s="175"/>
      <c r="B128" s="213"/>
      <c r="C128" s="183"/>
      <c r="D128" s="214"/>
      <c r="F128" s="176"/>
      <c r="G128" s="176"/>
      <c r="H128" s="176"/>
    </row>
    <row r="129" spans="1:10" ht="15" customHeight="1" x14ac:dyDescent="0.2">
      <c r="A129" s="203" t="s">
        <v>173</v>
      </c>
      <c r="B129" s="216">
        <v>12100</v>
      </c>
      <c r="C129" s="183">
        <v>15.25</v>
      </c>
      <c r="D129" s="214">
        <f>+C129*B129</f>
        <v>184525</v>
      </c>
      <c r="F129" s="176"/>
      <c r="G129" s="176"/>
      <c r="H129" s="176"/>
    </row>
    <row r="130" spans="1:10" ht="15" customHeight="1" thickBot="1" x14ac:dyDescent="0.25">
      <c r="A130" s="217"/>
      <c r="B130" s="218"/>
      <c r="C130" s="219"/>
      <c r="D130" s="220"/>
      <c r="F130" s="176"/>
      <c r="G130" s="176"/>
      <c r="H130" s="176"/>
      <c r="I130" s="160"/>
    </row>
    <row r="131" spans="1:10" ht="13.5" thickBot="1" x14ac:dyDescent="0.25">
      <c r="A131" s="207" t="s">
        <v>174</v>
      </c>
      <c r="B131" s="221">
        <f>SUM(B118:B130)</f>
        <v>14821.76</v>
      </c>
      <c r="C131" s="222">
        <f>+D131/B131</f>
        <v>15.615970707932121</v>
      </c>
      <c r="D131" s="223">
        <f>SUM(D118:D130)</f>
        <v>231456.16999999998</v>
      </c>
      <c r="F131" s="176"/>
      <c r="G131" s="176"/>
      <c r="H131" s="176"/>
    </row>
    <row r="132" spans="1:10" ht="13.5" thickBot="1" x14ac:dyDescent="0.25">
      <c r="A132" s="9"/>
      <c r="B132" s="224"/>
      <c r="C132" s="225"/>
      <c r="D132" s="160"/>
      <c r="F132" s="176"/>
      <c r="G132" s="176"/>
      <c r="H132" s="176"/>
      <c r="J132" s="243">
        <f>+J114+J80</f>
        <v>336800.56000000006</v>
      </c>
    </row>
    <row r="133" spans="1:10" ht="13.5" thickBot="1" x14ac:dyDescent="0.25">
      <c r="A133" s="226" t="s">
        <v>175</v>
      </c>
      <c r="B133" s="227">
        <f>+B131/C74</f>
        <v>0.60697653466562917</v>
      </c>
      <c r="C133" s="228"/>
      <c r="D133" s="229">
        <f>+D131-D114</f>
        <v>24923.354999999981</v>
      </c>
      <c r="F133" s="176"/>
      <c r="G133" s="176">
        <f>+D133</f>
        <v>24923.354999999981</v>
      </c>
      <c r="H133" s="176"/>
    </row>
    <row r="134" spans="1:10" ht="13.5" thickBot="1" x14ac:dyDescent="0.25">
      <c r="C134" s="230" t="s">
        <v>176</v>
      </c>
      <c r="D134" s="231">
        <f>+D133/D114</f>
        <v>0.12067503655532891</v>
      </c>
      <c r="F134" s="232"/>
      <c r="G134" s="232"/>
      <c r="H134" s="232"/>
    </row>
    <row r="135" spans="1:10" ht="13.5" thickBot="1" x14ac:dyDescent="0.25">
      <c r="E135" s="233">
        <f>+H135+G135+F135</f>
        <v>229456.17</v>
      </c>
      <c r="F135" s="234">
        <f>+F133+F114</f>
        <v>25291.9</v>
      </c>
      <c r="G135" s="234">
        <f>+G133+G114</f>
        <v>27643.354999999981</v>
      </c>
      <c r="H135" s="234">
        <f>+H114</f>
        <v>176520.91500000004</v>
      </c>
      <c r="J135" s="243">
        <f>+J74-J132</f>
        <v>-156162.33437500006</v>
      </c>
    </row>
    <row r="136" spans="1:10" x14ac:dyDescent="0.2">
      <c r="E136" s="54" t="s">
        <v>177</v>
      </c>
      <c r="F136" s="235"/>
      <c r="G136" s="236">
        <f>+G135/D131</f>
        <v>0.11943235300229837</v>
      </c>
      <c r="H136" s="235"/>
    </row>
    <row r="137" spans="1:10" x14ac:dyDescent="0.2">
      <c r="E137" s="54" t="s">
        <v>71</v>
      </c>
      <c r="F137" s="151"/>
      <c r="G137" s="237">
        <f>+G135/(D131-F135)</f>
        <v>0.13408412136593786</v>
      </c>
      <c r="H137" s="151"/>
    </row>
    <row r="139" spans="1:10" x14ac:dyDescent="0.2">
      <c r="D139" s="240"/>
      <c r="G139" s="240"/>
    </row>
    <row r="140" spans="1:10" x14ac:dyDescent="0.2">
      <c r="G140" s="238"/>
    </row>
  </sheetData>
  <pageMargins left="0.78740157499999996" right="0.18" top="0.25" bottom="0.35" header="0.19" footer="0.25"/>
  <pageSetup paperSize="9" scale="10" fitToHeight="0" orientation="portrait" horizontalDpi="4294967293" r:id="rId1"/>
  <headerFooter alignWithMargins="0"/>
  <rowBreaks count="1" manualBreakCount="1">
    <brk id="75" max="16383" man="1"/>
  </rowBreaks>
  <ignoredErrors>
    <ignoredError sqref="F13 F16 F29 F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Auszahlung Erzeuger</vt:lpstr>
      <vt:lpstr>Preise EH</vt:lpstr>
      <vt:lpstr>Tabelle1</vt:lpstr>
      <vt:lpstr>'Auszahlung Erzeuger'!Druckbereich</vt:lpstr>
      <vt:lpstr>'Preise EH'!Druckbereich</vt:lpstr>
    </vt:vector>
  </TitlesOfParts>
  <Company>Theimann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Theimann</dc:creator>
  <cp:lastModifiedBy>Andreas Theimann</cp:lastModifiedBy>
  <cp:lastPrinted>2026-08-11T09:46:32Z</cp:lastPrinted>
  <dcterms:created xsi:type="dcterms:W3CDTF">2009-05-22T08:42:34Z</dcterms:created>
  <dcterms:modified xsi:type="dcterms:W3CDTF">2026-08-11T09:46:39Z</dcterms:modified>
</cp:coreProperties>
</file>